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eelbach/Library/Mobile Documents/com~apple~CloudDocs/WVHA/Marina Dock Replacement/"/>
    </mc:Choice>
  </mc:AlternateContent>
  <xr:revisionPtr revIDLastSave="0" documentId="8_{292E4BB0-D40C-3048-81E8-389D71657388}" xr6:coauthVersionLast="47" xr6:coauthVersionMax="47" xr10:uidLastSave="{00000000-0000-0000-0000-000000000000}"/>
  <bookViews>
    <workbookView xWindow="4340" yWindow="760" windowWidth="22620" windowHeight="21580" xr2:uid="{ADE0FD80-DDE1-C14F-BBB1-0F7BFE856F55}"/>
  </bookViews>
  <sheets>
    <sheet name="Draft" sheetId="9" r:id="rId1"/>
    <sheet name="Design" sheetId="12" r:id="rId2"/>
    <sheet name="Slip Count" sheetId="11" r:id="rId3"/>
    <sheet name="Component Costs" sheetId="5" r:id="rId4"/>
    <sheet name="Boat Lengths" sheetId="10" r:id="rId5"/>
    <sheet name="Historical Expenses Pool-Marina" sheetId="13" r:id="rId6"/>
    <sheet name="WVHA Budget History" sheetId="14" r:id="rId7"/>
  </sheets>
  <definedNames>
    <definedName name="_xlnm.Print_Area" localSheetId="6">'WVHA Budget History'!$B$1:$K$148</definedName>
    <definedName name="_xlnm.Print_Titles" localSheetId="6">'WVHA Budget History'!$1:$2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3" l="1"/>
  <c r="C10" i="13"/>
  <c r="B10" i="13"/>
  <c r="D18" i="13"/>
  <c r="D11" i="13" s="1"/>
  <c r="C18" i="13"/>
  <c r="C6" i="13" s="1"/>
  <c r="B18" i="13"/>
  <c r="B6" i="13" s="1"/>
  <c r="D5" i="13"/>
  <c r="C5" i="13"/>
  <c r="D4" i="13"/>
  <c r="C4" i="13"/>
  <c r="B5" i="13"/>
  <c r="B4" i="13"/>
  <c r="G146" i="14"/>
  <c r="E144" i="14"/>
  <c r="I143" i="14"/>
  <c r="G141" i="14"/>
  <c r="F141" i="14"/>
  <c r="J136" i="14"/>
  <c r="I136" i="14"/>
  <c r="H136" i="14"/>
  <c r="G136" i="14"/>
  <c r="F134" i="14"/>
  <c r="X132" i="14"/>
  <c r="W132" i="14"/>
  <c r="V132" i="14"/>
  <c r="U132" i="14"/>
  <c r="T132" i="14"/>
  <c r="S132" i="14"/>
  <c r="R132" i="14"/>
  <c r="Q132" i="14"/>
  <c r="P132" i="14"/>
  <c r="O132" i="14"/>
  <c r="N132" i="14"/>
  <c r="L132" i="14"/>
  <c r="F132" i="14"/>
  <c r="F136" i="14" s="1"/>
  <c r="E132" i="14"/>
  <c r="D132" i="14"/>
  <c r="D136" i="14" s="1"/>
  <c r="H115" i="14"/>
  <c r="H114" i="14"/>
  <c r="D113" i="14"/>
  <c r="D112" i="14"/>
  <c r="F111" i="14"/>
  <c r="D110" i="14"/>
  <c r="D144" i="14" s="1"/>
  <c r="D148" i="14" s="1"/>
  <c r="X103" i="14"/>
  <c r="W103" i="14"/>
  <c r="V103" i="14"/>
  <c r="U103" i="14"/>
  <c r="T103" i="14"/>
  <c r="S103" i="14"/>
  <c r="T101" i="14"/>
  <c r="R101" i="14"/>
  <c r="Q101" i="14"/>
  <c r="P101" i="14"/>
  <c r="O101" i="14"/>
  <c r="N101" i="14"/>
  <c r="M101" i="14"/>
  <c r="M103" i="14" s="1"/>
  <c r="L101" i="14"/>
  <c r="K101" i="14"/>
  <c r="K103" i="14" s="1"/>
  <c r="I101" i="14"/>
  <c r="T99" i="14"/>
  <c r="J99" i="14"/>
  <c r="J103" i="14" s="1"/>
  <c r="J138" i="14" s="1"/>
  <c r="X97" i="14"/>
  <c r="X101" i="14" s="1"/>
  <c r="W97" i="14"/>
  <c r="W99" i="14" s="1"/>
  <c r="V97" i="14"/>
  <c r="V99" i="14" s="1"/>
  <c r="U97" i="14"/>
  <c r="U99" i="14" s="1"/>
  <c r="T97" i="14"/>
  <c r="S97" i="14"/>
  <c r="S101" i="14" s="1"/>
  <c r="R97" i="14"/>
  <c r="Q97" i="14"/>
  <c r="P97" i="14"/>
  <c r="O97" i="14"/>
  <c r="N97" i="14"/>
  <c r="M97" i="14"/>
  <c r="M99" i="14" s="1"/>
  <c r="K97" i="14"/>
  <c r="K99" i="14" s="1"/>
  <c r="J97" i="14"/>
  <c r="I97" i="14"/>
  <c r="G97" i="14"/>
  <c r="E97" i="14"/>
  <c r="D97" i="14"/>
  <c r="H95" i="14"/>
  <c r="H97" i="14" s="1"/>
  <c r="F97" i="14"/>
  <c r="L92" i="14"/>
  <c r="L97" i="14" s="1"/>
  <c r="L99" i="14" s="1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Z75" i="14"/>
  <c r="Z74" i="14"/>
  <c r="Y74" i="14"/>
  <c r="Z73" i="14"/>
  <c r="Y73" i="14"/>
  <c r="Z72" i="14"/>
  <c r="Y72" i="14"/>
  <c r="Z71" i="14"/>
  <c r="Y71" i="14"/>
  <c r="Z70" i="14"/>
  <c r="Y70" i="14"/>
  <c r="Z69" i="14"/>
  <c r="Y69" i="14"/>
  <c r="X66" i="14"/>
  <c r="W66" i="14"/>
  <c r="V66" i="14"/>
  <c r="U66" i="14"/>
  <c r="T66" i="14"/>
  <c r="S66" i="14"/>
  <c r="Q66" i="14"/>
  <c r="P66" i="14"/>
  <c r="O66" i="14"/>
  <c r="N66" i="14"/>
  <c r="M66" i="14"/>
  <c r="L66" i="14"/>
  <c r="K66" i="14"/>
  <c r="J66" i="14"/>
  <c r="I66" i="14"/>
  <c r="H66" i="14"/>
  <c r="F66" i="14"/>
  <c r="D66" i="14"/>
  <c r="Z65" i="14"/>
  <c r="Z64" i="14"/>
  <c r="Z63" i="14"/>
  <c r="G63" i="14"/>
  <c r="G66" i="14" s="1"/>
  <c r="Z62" i="14"/>
  <c r="U62" i="14"/>
  <c r="Z61" i="14"/>
  <c r="Z60" i="14"/>
  <c r="Z59" i="14"/>
  <c r="Z58" i="14"/>
  <c r="U58" i="14"/>
  <c r="Z57" i="14"/>
  <c r="E57" i="14"/>
  <c r="E66" i="14" s="1"/>
  <c r="R56" i="14"/>
  <c r="R66" i="14" s="1"/>
  <c r="X51" i="14"/>
  <c r="X99" i="14" s="1"/>
  <c r="W51" i="14"/>
  <c r="V51" i="14"/>
  <c r="U51" i="14"/>
  <c r="T51" i="14"/>
  <c r="R51" i="14"/>
  <c r="Q51" i="14"/>
  <c r="Q99" i="14" s="1"/>
  <c r="Q103" i="14" s="1"/>
  <c r="P51" i="14"/>
  <c r="P99" i="14" s="1"/>
  <c r="P103" i="14" s="1"/>
  <c r="O51" i="14"/>
  <c r="O99" i="14" s="1"/>
  <c r="N51" i="14"/>
  <c r="N99" i="14" s="1"/>
  <c r="M51" i="14"/>
  <c r="L51" i="14"/>
  <c r="K51" i="14"/>
  <c r="J51" i="14"/>
  <c r="I51" i="14"/>
  <c r="I99" i="14" s="1"/>
  <c r="I103" i="14" s="1"/>
  <c r="I138" i="14" s="1"/>
  <c r="G51" i="14"/>
  <c r="F51" i="14"/>
  <c r="E51" i="14"/>
  <c r="D51" i="14"/>
  <c r="D99" i="14" s="1"/>
  <c r="H49" i="14"/>
  <c r="S47" i="14"/>
  <c r="R47" i="14"/>
  <c r="E47" i="14"/>
  <c r="D47" i="14"/>
  <c r="S46" i="14"/>
  <c r="S51" i="14" s="1"/>
  <c r="S99" i="14" s="1"/>
  <c r="H46" i="14"/>
  <c r="H51" i="14" s="1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H101" i="14" s="1"/>
  <c r="G41" i="14"/>
  <c r="G101" i="14" s="1"/>
  <c r="F41" i="14"/>
  <c r="F101" i="14" s="1"/>
  <c r="E41" i="14"/>
  <c r="E101" i="14" s="1"/>
  <c r="H40" i="14"/>
  <c r="D21" i="14"/>
  <c r="D41" i="14" s="1"/>
  <c r="D101" i="14" s="1"/>
  <c r="D5" i="14"/>
  <c r="F48" i="9"/>
  <c r="D48" i="9"/>
  <c r="B48" i="9"/>
  <c r="B12" i="13" l="1"/>
  <c r="C12" i="13"/>
  <c r="D12" i="13"/>
  <c r="D13" i="13" s="1"/>
  <c r="B11" i="13"/>
  <c r="B13" i="13" s="1"/>
  <c r="D6" i="13"/>
  <c r="C11" i="13"/>
  <c r="D7" i="13"/>
  <c r="C13" i="13"/>
  <c r="B7" i="13"/>
  <c r="C7" i="13"/>
  <c r="L103" i="14"/>
  <c r="D103" i="14"/>
  <c r="D138" i="14" s="1"/>
  <c r="F99" i="14"/>
  <c r="F103" i="14" s="1"/>
  <c r="F138" i="14" s="1"/>
  <c r="N103" i="14"/>
  <c r="E103" i="14"/>
  <c r="G99" i="14"/>
  <c r="G103" i="14" s="1"/>
  <c r="G138" i="14" s="1"/>
  <c r="R99" i="14"/>
  <c r="R103" i="14" s="1"/>
  <c r="O103" i="14"/>
  <c r="H103" i="14"/>
  <c r="H138" i="14" s="1"/>
  <c r="E99" i="14"/>
  <c r="H99" i="14"/>
  <c r="U101" i="14"/>
  <c r="V101" i="14"/>
  <c r="W101" i="14"/>
  <c r="A11" i="11"/>
  <c r="A10" i="11"/>
  <c r="A9" i="11"/>
  <c r="A8" i="11"/>
  <c r="A7" i="11"/>
  <c r="A6" i="11"/>
  <c r="A5" i="11"/>
  <c r="A4" i="11"/>
  <c r="H46" i="9"/>
  <c r="H11" i="11"/>
  <c r="H10" i="11"/>
  <c r="H9" i="11"/>
  <c r="H8" i="11"/>
  <c r="H7" i="11"/>
  <c r="H6" i="11"/>
  <c r="H5" i="11"/>
  <c r="H4" i="11"/>
  <c r="G11" i="11"/>
  <c r="G10" i="11"/>
  <c r="G9" i="11"/>
  <c r="G8" i="11"/>
  <c r="G7" i="11"/>
  <c r="G6" i="11"/>
  <c r="G5" i="11"/>
  <c r="G4" i="11"/>
  <c r="F11" i="11"/>
  <c r="F10" i="11"/>
  <c r="F9" i="11"/>
  <c r="F8" i="11"/>
  <c r="F7" i="11"/>
  <c r="F6" i="11"/>
  <c r="F5" i="11"/>
  <c r="F4" i="11"/>
  <c r="E11" i="11"/>
  <c r="E10" i="11"/>
  <c r="E9" i="11"/>
  <c r="E8" i="11"/>
  <c r="E7" i="11"/>
  <c r="E6" i="11"/>
  <c r="E5" i="11"/>
  <c r="E4" i="11"/>
  <c r="D11" i="11"/>
  <c r="D10" i="11"/>
  <c r="D9" i="11"/>
  <c r="D8" i="11"/>
  <c r="D7" i="11"/>
  <c r="D6" i="11"/>
  <c r="D5" i="11"/>
  <c r="D4" i="11"/>
  <c r="C11" i="11"/>
  <c r="C9" i="11"/>
  <c r="C8" i="11"/>
  <c r="C7" i="11"/>
  <c r="C6" i="11"/>
  <c r="C5" i="11"/>
  <c r="C4" i="11"/>
  <c r="C10" i="11"/>
  <c r="G12" i="11" l="1"/>
  <c r="H12" i="11"/>
  <c r="F12" i="11"/>
  <c r="E12" i="11"/>
  <c r="I10" i="11"/>
  <c r="J10" i="11" s="1"/>
  <c r="K10" i="11" s="1"/>
  <c r="D12" i="11"/>
  <c r="C12" i="11"/>
  <c r="I11" i="11"/>
  <c r="J11" i="11" s="1"/>
  <c r="K11" i="11" s="1"/>
  <c r="I9" i="11"/>
  <c r="J9" i="11" s="1"/>
  <c r="K9" i="11" s="1"/>
  <c r="I8" i="11"/>
  <c r="J8" i="11" s="1"/>
  <c r="K8" i="11" s="1"/>
  <c r="I7" i="11"/>
  <c r="J7" i="11" s="1"/>
  <c r="K7" i="11" s="1"/>
  <c r="I5" i="11"/>
  <c r="J5" i="11" s="1"/>
  <c r="K5" i="11" s="1"/>
  <c r="I6" i="11"/>
  <c r="J6" i="11" s="1"/>
  <c r="K6" i="11" s="1"/>
  <c r="I4" i="11"/>
  <c r="I14" i="11" l="1"/>
  <c r="J4" i="11"/>
  <c r="H16" i="9"/>
  <c r="H34" i="9" s="1"/>
  <c r="H56" i="9"/>
  <c r="F46" i="9"/>
  <c r="D46" i="9"/>
  <c r="B46" i="9"/>
  <c r="H45" i="9"/>
  <c r="F45" i="9"/>
  <c r="D45" i="9"/>
  <c r="B45" i="9"/>
  <c r="H44" i="9"/>
  <c r="F44" i="9"/>
  <c r="D44" i="9"/>
  <c r="B44" i="9"/>
  <c r="J40" i="9"/>
  <c r="J32" i="9"/>
  <c r="G26" i="9"/>
  <c r="F26" i="9"/>
  <c r="E26" i="9"/>
  <c r="D26" i="9"/>
  <c r="C26" i="9"/>
  <c r="B26" i="9"/>
  <c r="F22" i="9"/>
  <c r="D22" i="9"/>
  <c r="B22" i="9"/>
  <c r="F16" i="9"/>
  <c r="D16" i="9"/>
  <c r="B16" i="9"/>
  <c r="G11" i="9"/>
  <c r="G12" i="9" s="1"/>
  <c r="F11" i="9"/>
  <c r="F12" i="9" s="1"/>
  <c r="E11" i="9"/>
  <c r="E12" i="9" s="1"/>
  <c r="D11" i="9"/>
  <c r="D12" i="9" s="1"/>
  <c r="C11" i="9"/>
  <c r="C12" i="9" s="1"/>
  <c r="B11" i="9"/>
  <c r="B12" i="9" s="1"/>
  <c r="J16" i="9" l="1"/>
  <c r="J15" i="11"/>
  <c r="K4" i="11"/>
  <c r="K16" i="11" s="1"/>
  <c r="J22" i="9"/>
  <c r="J26" i="9"/>
  <c r="F34" i="9"/>
  <c r="F43" i="9" s="1"/>
  <c r="F52" i="9" s="1"/>
  <c r="J12" i="9"/>
  <c r="D34" i="9"/>
  <c r="D43" i="9" s="1"/>
  <c r="D52" i="9" s="1"/>
  <c r="B34" i="9"/>
  <c r="B43" i="9" s="1"/>
  <c r="B52" i="9" s="1"/>
  <c r="J36" i="9" l="1"/>
  <c r="J41" i="9" s="1"/>
  <c r="H43" i="9"/>
  <c r="H52" i="9" l="1"/>
  <c r="H54" i="9" s="1"/>
  <c r="H55" i="9" s="1"/>
  <c r="H5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Bernard Sheldon</author>
  </authors>
  <commentList>
    <comment ref="G46" authorId="0" shapeId="0" xr:uid="{171BFC7D-EF7F-D741-87D2-E692DBC2C85A}">
      <text>
        <r>
          <rPr>
            <b/>
            <sz val="9"/>
            <color indexed="81"/>
            <rFont val="Tahoma"/>
            <family val="2"/>
          </rPr>
          <t>Bernard Sheldon:</t>
        </r>
        <r>
          <rPr>
            <sz val="9"/>
            <color indexed="81"/>
            <rFont val="Tahoma"/>
            <family val="2"/>
          </rPr>
          <t xml:space="preserve">
Virg- 49898
Todd- 37440
Jorin- 1075</t>
        </r>
      </text>
    </comment>
    <comment ref="E47" authorId="0" shapeId="0" xr:uid="{38053789-6361-7E47-A2C4-E408DF64A248}">
      <text>
        <r>
          <rPr>
            <b/>
            <sz val="9"/>
            <color rgb="FF000000"/>
            <rFont val="Tahoma"/>
            <family val="2"/>
          </rPr>
          <t>Bernard Sheldon: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6871 Fed Soc Sec
</t>
        </r>
        <r>
          <rPr>
            <sz val="9"/>
            <color rgb="FF000000"/>
            <rFont val="Tahoma"/>
            <family val="2"/>
          </rPr>
          <t xml:space="preserve">1607 Fed Medicare
</t>
        </r>
        <r>
          <rPr>
            <sz val="9"/>
            <color rgb="FF000000"/>
            <rFont val="Tahoma"/>
            <family val="2"/>
          </rPr>
          <t xml:space="preserve">1049 Idaho Unemp
</t>
        </r>
        <r>
          <rPr>
            <sz val="9"/>
            <color rgb="FF000000"/>
            <rFont val="Tahoma"/>
            <family val="2"/>
          </rPr>
          <t xml:space="preserve">140 Fed Unempl
</t>
        </r>
        <r>
          <rPr>
            <sz val="9"/>
            <color rgb="FF000000"/>
            <rFont val="Tahoma"/>
            <family val="2"/>
          </rPr>
          <t>698 Idaho Adm + WFD</t>
        </r>
      </text>
    </comment>
    <comment ref="G48" authorId="0" shapeId="0" xr:uid="{9B2DD88F-DEAC-BF46-978E-FBAA4BF7EB2C}">
      <text>
        <r>
          <rPr>
            <b/>
            <sz val="9"/>
            <color rgb="FF000000"/>
            <rFont val="Tahoma"/>
            <family val="2"/>
          </rPr>
          <t>Bernard Sheldon: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Virg- 1299
</t>
        </r>
        <r>
          <rPr>
            <sz val="9"/>
            <color rgb="FF000000"/>
            <rFont val="Tahoma"/>
            <family val="2"/>
          </rPr>
          <t>Todd- 866</t>
        </r>
      </text>
    </comment>
    <comment ref="G49" authorId="0" shapeId="0" xr:uid="{B07B33B9-8278-E445-B86C-957CCC6B31B4}">
      <text>
        <r>
          <rPr>
            <b/>
            <sz val="9"/>
            <color rgb="FF000000"/>
            <rFont val="Tahoma"/>
            <family val="2"/>
          </rPr>
          <t>Bernard Sheldon: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Virg- 750 
</t>
        </r>
        <r>
          <rPr>
            <sz val="9"/>
            <color rgb="FF000000"/>
            <rFont val="Tahoma"/>
            <family val="2"/>
          </rPr>
          <t>Todd- 216 + 187</t>
        </r>
      </text>
    </comment>
    <comment ref="E50" authorId="0" shapeId="0" xr:uid="{4C0F2072-CE0B-B34E-9463-A45D75FEA4A0}">
      <text>
        <r>
          <rPr>
            <b/>
            <sz val="9"/>
            <color rgb="FF000000"/>
            <rFont val="Tahoma"/>
            <family val="2"/>
          </rPr>
          <t>Bernard Sheldon: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Estimate, to be updated
</t>
        </r>
      </text>
    </comment>
    <comment ref="G63" authorId="0" shapeId="0" xr:uid="{033C5A15-78B5-3D42-B757-9309D9D34CDE}">
      <text>
        <r>
          <rPr>
            <b/>
            <sz val="9"/>
            <color rgb="FF000000"/>
            <rFont val="Tahoma"/>
            <family val="2"/>
          </rPr>
          <t>Bernard Sheldon: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Miscellaneous- $275
</t>
        </r>
        <r>
          <rPr>
            <sz val="9"/>
            <color rgb="FF000000"/>
            <rFont val="Tahoma"/>
            <family val="2"/>
          </rPr>
          <t>Other- $821</t>
        </r>
      </text>
    </comment>
    <comment ref="E134" authorId="0" shapeId="0" xr:uid="{42705B1D-0611-CE4B-B146-1BE239B346AB}">
      <text>
        <r>
          <rPr>
            <b/>
            <sz val="9"/>
            <color rgb="FF000000"/>
            <rFont val="Tahoma"/>
            <family val="2"/>
          </rPr>
          <t>Bernard Sheldon: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Marina- 5559
</t>
        </r>
        <r>
          <rPr>
            <sz val="9"/>
            <color rgb="FF000000"/>
            <rFont val="Tahoma"/>
            <family val="2"/>
          </rPr>
          <t>Siding correction- 12000</t>
        </r>
      </text>
    </comment>
    <comment ref="F134" authorId="0" shapeId="0" xr:uid="{C77E6E47-44B8-5D43-AA6F-F65BB3F03653}">
      <text>
        <r>
          <rPr>
            <b/>
            <sz val="9"/>
            <color rgb="FF000000"/>
            <rFont val="Tahoma"/>
            <family val="2"/>
          </rPr>
          <t>Bernard Sheldon: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R&amp;R $121459
</t>
        </r>
        <r>
          <rPr>
            <sz val="9"/>
            <color rgb="FF000000"/>
            <rFont val="Tahoma"/>
            <family val="2"/>
          </rPr>
          <t xml:space="preserve">Pool Fence $10,000
</t>
        </r>
        <r>
          <rPr>
            <sz val="9"/>
            <color rgb="FF000000"/>
            <rFont val="Tahoma"/>
            <family val="2"/>
          </rPr>
          <t xml:space="preserve">Roofs $14610
</t>
        </r>
        <r>
          <rPr>
            <sz val="9"/>
            <color rgb="FF000000"/>
            <rFont val="Tahoma"/>
            <family val="2"/>
          </rPr>
          <t xml:space="preserve">Pool gazebo-$650
</t>
        </r>
        <r>
          <rPr>
            <sz val="9"/>
            <color rgb="FF000000"/>
            <rFont val="Tahoma"/>
            <family val="2"/>
          </rPr>
          <t xml:space="preserve">Patio furniture- $1844
</t>
        </r>
      </text>
    </comment>
    <comment ref="G134" authorId="0" shapeId="0" xr:uid="{C681472B-D146-E140-8449-708F1E243A89}">
      <text>
        <r>
          <rPr>
            <b/>
            <sz val="9"/>
            <color indexed="81"/>
            <rFont val="Tahoma"/>
            <family val="2"/>
          </rPr>
          <t>Bernard Sheldon:</t>
        </r>
        <r>
          <rPr>
            <sz val="9"/>
            <color indexed="81"/>
            <rFont val="Tahoma"/>
            <family val="2"/>
          </rPr>
          <t xml:space="preserve">
marina 121970, barn baths 18121, barn exterior 2220, patio furn 1844, curbing 1798, Aerator 12000</t>
        </r>
      </text>
    </comment>
  </commentList>
</comments>
</file>

<file path=xl/sharedStrings.xml><?xml version="1.0" encoding="utf-8"?>
<sst xmlns="http://schemas.openxmlformats.org/spreadsheetml/2006/main" count="318" uniqueCount="232">
  <si>
    <t>Difference</t>
  </si>
  <si>
    <t>Coverage Allowed</t>
  </si>
  <si>
    <t>WVHA River Frontage</t>
  </si>
  <si>
    <t>Allowed Coverage</t>
  </si>
  <si>
    <t>Total Coverage</t>
  </si>
  <si>
    <t>Subtotal</t>
  </si>
  <si>
    <t>Sun Deck Overhang</t>
  </si>
  <si>
    <t>Coverage Each</t>
  </si>
  <si>
    <t>Dock/Finger Corners</t>
  </si>
  <si>
    <t>Coverage (sq ft)</t>
  </si>
  <si>
    <t>Ground Overlap</t>
  </si>
  <si>
    <t>Dock Overlap</t>
  </si>
  <si>
    <t>Gangway Length</t>
  </si>
  <si>
    <t>Gangway Width</t>
  </si>
  <si>
    <t>Main Dock Length</t>
  </si>
  <si>
    <t>Dock width</t>
  </si>
  <si>
    <t>Total Finger Length</t>
  </si>
  <si>
    <t>Finger width</t>
  </si>
  <si>
    <t>West</t>
  </si>
  <si>
    <t>East</t>
  </si>
  <si>
    <t>Finger</t>
  </si>
  <si>
    <t>D Dock</t>
  </si>
  <si>
    <t>C Dock</t>
  </si>
  <si>
    <t>B Dock</t>
  </si>
  <si>
    <t>A Dock</t>
  </si>
  <si>
    <t>Cells this color can be changed to explore 'what if' scenarios</t>
  </si>
  <si>
    <t>Dock Coverages (less gangways, no sun deck)</t>
  </si>
  <si>
    <t>Cells in this color can be compared with values in the engineering drawing</t>
  </si>
  <si>
    <t>Multiplier (sq ft of coverage per linear ft frontage)</t>
  </si>
  <si>
    <t>Pilings each</t>
  </si>
  <si>
    <t>Mobilization , percentage of project cost</t>
  </si>
  <si>
    <t>Demo/disposal</t>
  </si>
  <si>
    <t>Concrete Foundations</t>
  </si>
  <si>
    <t>Security gate</t>
  </si>
  <si>
    <t>Gangways, 4x 24 feet</t>
  </si>
  <si>
    <t>Dock/Finger</t>
  </si>
  <si>
    <t>Gangway</t>
  </si>
  <si>
    <t>Pilings (one per finger)</t>
  </si>
  <si>
    <t>Foundation</t>
  </si>
  <si>
    <t>Total Gates/Ramps/Docks/Pilings</t>
  </si>
  <si>
    <t>Deployment</t>
  </si>
  <si>
    <t>Demo/Removal</t>
  </si>
  <si>
    <t>Project Total</t>
  </si>
  <si>
    <t xml:space="preserve">Width (N/S) </t>
  </si>
  <si>
    <t>Length (E/W) into Swim Area</t>
  </si>
  <si>
    <t>Boat Population by Length (incomplete)</t>
  </si>
  <si>
    <t>Length</t>
  </si>
  <si>
    <t>Fingers by Length
(by Dock)</t>
  </si>
  <si>
    <t>Slip Rental</t>
  </si>
  <si>
    <t>Finger Length</t>
  </si>
  <si>
    <t>Fingers</t>
  </si>
  <si>
    <t>Revenue</t>
  </si>
  <si>
    <t>Slips</t>
  </si>
  <si>
    <t>Total Slips</t>
  </si>
  <si>
    <t>Slip Covers</t>
  </si>
  <si>
    <t>Rate/foot</t>
  </si>
  <si>
    <t>Total Revenue</t>
  </si>
  <si>
    <t>Total Fingers</t>
  </si>
  <si>
    <t>Shore Landing</t>
  </si>
  <si>
    <t>No steps</t>
  </si>
  <si>
    <t>Concrete</t>
  </si>
  <si>
    <t>Security Gate</t>
  </si>
  <si>
    <t>Downlighting</t>
  </si>
  <si>
    <t>4 x 24 aluminum with railings</t>
  </si>
  <si>
    <t>6 x 4 concrete pad</t>
  </si>
  <si>
    <t>Hinged to shore landing</t>
  </si>
  <si>
    <t>X</t>
  </si>
  <si>
    <t>Dock Sections</t>
  </si>
  <si>
    <t>Railing</t>
  </si>
  <si>
    <t>Between dock and breakwater</t>
  </si>
  <si>
    <t>Rub rail</t>
  </si>
  <si>
    <t>Electrical</t>
  </si>
  <si>
    <t>Water</t>
  </si>
  <si>
    <t>Cleats</t>
  </si>
  <si>
    <t>Finger Sections</t>
  </si>
  <si>
    <t xml:space="preserve">30" wide </t>
  </si>
  <si>
    <t>Width</t>
  </si>
  <si>
    <t>5'</t>
  </si>
  <si>
    <t>10'</t>
  </si>
  <si>
    <t>Intersection Corners</t>
  </si>
  <si>
    <t>Floating Dock per square foot</t>
  </si>
  <si>
    <t>Fixed Dock per square foot</t>
  </si>
  <si>
    <t>Swim Area Fixed Dock</t>
  </si>
  <si>
    <t>D Dock Dog Leg</t>
  </si>
  <si>
    <t>5 Year Average</t>
  </si>
  <si>
    <t>10 Year Average</t>
  </si>
  <si>
    <t xml:space="preserve"> </t>
  </si>
  <si>
    <t>Category</t>
  </si>
  <si>
    <t>Actual</t>
  </si>
  <si>
    <t>Budget</t>
  </si>
  <si>
    <t xml:space="preserve">Revenue  Condo + Homeowners  </t>
  </si>
  <si>
    <t>74 Condos @ $430</t>
  </si>
  <si>
    <t xml:space="preserve">    </t>
  </si>
  <si>
    <t>74 Condos @ $393</t>
  </si>
  <si>
    <t xml:space="preserve">74 Condos $353 +$10 </t>
  </si>
  <si>
    <t>74 Condos $353</t>
  </si>
  <si>
    <t>74 Condo Owners $322 (op exp) + $35(internet)</t>
  </si>
  <si>
    <t>74 Condo Owners $349 ($314 +$35 internet)</t>
  </si>
  <si>
    <t>74 Condo Owners $341</t>
  </si>
  <si>
    <r>
      <t xml:space="preserve">74 Condo Owners </t>
    </r>
    <r>
      <rPr>
        <b/>
        <sz val="10"/>
        <rFont val="Arial"/>
        <family val="2"/>
      </rPr>
      <t xml:space="preserve">@ </t>
    </r>
    <r>
      <rPr>
        <sz val="10"/>
        <rFont val="Arial"/>
        <family val="2"/>
      </rPr>
      <t>$322 Mo</t>
    </r>
  </si>
  <si>
    <t>74 Condo Owners @ $312 Mo</t>
  </si>
  <si>
    <t>74 Condo Owners @ $303 Mo</t>
  </si>
  <si>
    <t>74 Condo Owners @ $294 Mo</t>
  </si>
  <si>
    <t xml:space="preserve">74 Condo Owners @ $285 Mo  </t>
  </si>
  <si>
    <t>74 Condo Owners @ $276 Mo</t>
  </si>
  <si>
    <t>74 Condo Owners @ $268 Mo</t>
  </si>
  <si>
    <t>74 Condo Owners @ $260 Mo</t>
  </si>
  <si>
    <t>5 Homes @390</t>
  </si>
  <si>
    <t>5 Homes @ $353</t>
  </si>
  <si>
    <t xml:space="preserve">5 Homes $313 +$10 </t>
  </si>
  <si>
    <t>5 Homes $313</t>
  </si>
  <si>
    <t>5 Home owners @ $332 Mo (292 + 40 internet)</t>
  </si>
  <si>
    <t>5 Homes $301</t>
  </si>
  <si>
    <t>5 Homes $309</t>
  </si>
  <si>
    <t xml:space="preserve">5 Homeowners @ $282 Mo </t>
  </si>
  <si>
    <t>5 Homeowners @ $304 Mo</t>
  </si>
  <si>
    <t>5 Homeowners @ $263 Mo</t>
  </si>
  <si>
    <t>5 Homeowners @ $252 Mo</t>
  </si>
  <si>
    <t>5 Homeowners @ $245 Mo</t>
  </si>
  <si>
    <t>79 owners</t>
  </si>
  <si>
    <t>Insurance Assessment 79 @ $28 Mo</t>
  </si>
  <si>
    <t>Insurance Assessment 79 @ $32 Mo</t>
  </si>
  <si>
    <t>Insurance Assessment 79 @ $34 Mo</t>
  </si>
  <si>
    <t>Investment Income</t>
  </si>
  <si>
    <t>Moorage (move to Cap Ex)</t>
  </si>
  <si>
    <t>Easement</t>
  </si>
  <si>
    <t>Other: late fees, new orientations, estoppels</t>
  </si>
  <si>
    <t xml:space="preserve">Total Operating Revenue </t>
  </si>
  <si>
    <t>Expenditures</t>
  </si>
  <si>
    <t xml:space="preserve">     Personnel Costs</t>
  </si>
  <si>
    <t>Salaries</t>
  </si>
  <si>
    <t>Payroll Taxes</t>
  </si>
  <si>
    <t xml:space="preserve">Bonus </t>
  </si>
  <si>
    <t>Gas Allotment &amp; Mileage</t>
  </si>
  <si>
    <t>Insurance-WC</t>
  </si>
  <si>
    <t xml:space="preserve">     Personnel Cost Subtotal</t>
  </si>
  <si>
    <t xml:space="preserve">     Maintenance and Repair</t>
  </si>
  <si>
    <t>Equipment Rent</t>
  </si>
  <si>
    <t>Equipment fuel and Oil</t>
  </si>
  <si>
    <t>Pool and Recreation Areas (includes supplies)</t>
  </si>
  <si>
    <t xml:space="preserve">Docks </t>
  </si>
  <si>
    <t>Yard and Grounds</t>
  </si>
  <si>
    <t>Irrigation and Pumps</t>
  </si>
  <si>
    <t>Machines and Equipment</t>
  </si>
  <si>
    <t>Electrical and Plumbing</t>
  </si>
  <si>
    <t>-</t>
  </si>
  <si>
    <t xml:space="preserve">Exterior and Buildings </t>
  </si>
  <si>
    <t>Miscellaneous repairs and supplies</t>
  </si>
  <si>
    <t>Roads</t>
  </si>
  <si>
    <t>Snowplowing</t>
  </si>
  <si>
    <t xml:space="preserve">     Maintenance and Repair Subtotal</t>
  </si>
  <si>
    <t xml:space="preserve">     Utilities</t>
  </si>
  <si>
    <t>Electric</t>
  </si>
  <si>
    <t xml:space="preserve">Water </t>
  </si>
  <si>
    <t>Pool Fuel</t>
  </si>
  <si>
    <t>Sewer</t>
  </si>
  <si>
    <t>Garbage and Recycle</t>
  </si>
  <si>
    <t>Cable</t>
  </si>
  <si>
    <t xml:space="preserve">Internet  </t>
  </si>
  <si>
    <t>Telephone</t>
  </si>
  <si>
    <t>Telephone-Long Distance</t>
  </si>
  <si>
    <t>Utilities Subtotal</t>
  </si>
  <si>
    <t xml:space="preserve">     Other Costs</t>
  </si>
  <si>
    <t>Accounting</t>
  </si>
  <si>
    <t>Bank Fees</t>
  </si>
  <si>
    <t>Dues</t>
  </si>
  <si>
    <t>Events</t>
  </si>
  <si>
    <t>Income Tax</t>
  </si>
  <si>
    <t>Contributions</t>
  </si>
  <si>
    <t>Insurance</t>
  </si>
  <si>
    <t>Interest (and late fees)</t>
  </si>
  <si>
    <t>Fines</t>
  </si>
  <si>
    <t>Legal</t>
  </si>
  <si>
    <t>Shop Supplies</t>
  </si>
  <si>
    <t>Office Supplies (&amp; equipment)</t>
  </si>
  <si>
    <t>Supplies: Other</t>
  </si>
  <si>
    <t>Licenses and Permit</t>
  </si>
  <si>
    <t>Postage and PO Box Rent</t>
  </si>
  <si>
    <t>Property Tax, Tax Prep, etc</t>
  </si>
  <si>
    <t xml:space="preserve">    Other Costs  Subtotal </t>
  </si>
  <si>
    <t>Total Operating Expenditures</t>
  </si>
  <si>
    <t>Net Operations Balance</t>
  </si>
  <si>
    <t xml:space="preserve">      Capital Revenue (Assessments)</t>
  </si>
  <si>
    <t>79 owners- marina repairs, tennis court- $40</t>
  </si>
  <si>
    <t xml:space="preserve"> 74 condos- building repairs 
(Coyote roofs)- $81K</t>
  </si>
  <si>
    <t xml:space="preserve">INCOME 74 Units @$100 + 5 Homes@$20 </t>
  </si>
  <si>
    <t>INCOME 79 Units @$137</t>
  </si>
  <si>
    <t>Marina Lease Fees</t>
  </si>
  <si>
    <t>Marina-pledged assessment 2025 = $21</t>
  </si>
  <si>
    <t>INCOME 74 condos</t>
  </si>
  <si>
    <t>INCOME 5 Homes</t>
  </si>
  <si>
    <t>Slip Assessment      79 @ $37/ Mo: $444/Yr</t>
  </si>
  <si>
    <t>Siding Assessment  74 @ $17/ Mo: $204/Yr</t>
  </si>
  <si>
    <t>Repair Assessment 79 @ 42 Mo $504</t>
  </si>
  <si>
    <t>Repair Assessment 79 @ 84 Mo $1008</t>
  </si>
  <si>
    <t>Repair Assessment 74 @ 84 Mo $1008</t>
  </si>
  <si>
    <t>Repair Assessment 74 @ 168 Mo $2016</t>
  </si>
  <si>
    <t>Repair Assessment 5 home owners @ 39 Mo $468</t>
  </si>
  <si>
    <t>Repair Assessment 5 home owners @ 59 Mo $708</t>
  </si>
  <si>
    <t>Repair Assessment 5 home owners @ 118 Mo $1416</t>
  </si>
  <si>
    <t>Repair Assessment 74 @ 42 Mo $504</t>
  </si>
  <si>
    <t>Repair Assessment 74 @ 54 Mo $648</t>
  </si>
  <si>
    <t>Repair Assessment 5 home owners @ 14 Mo $156</t>
  </si>
  <si>
    <t>Repair Assessment 74 @ 0 Mo $0</t>
  </si>
  <si>
    <t>Repair Assessment 74 @ 50 Mo $600</t>
  </si>
  <si>
    <t xml:space="preserve">     Capital Revenue </t>
  </si>
  <si>
    <t xml:space="preserve">     Capital Spend</t>
  </si>
  <si>
    <t xml:space="preserve">     Capital Reserve Annual Net</t>
  </si>
  <si>
    <t>Total Expenditure (Ops + Cap) Annual Net</t>
  </si>
  <si>
    <t>Capital Assessment (non-marina)</t>
  </si>
  <si>
    <t>Cap Ex (non-marina)</t>
  </si>
  <si>
    <t>Marina Assessment + Slip Rental</t>
  </si>
  <si>
    <t>Marina Investments</t>
  </si>
  <si>
    <t>Marina Reserve</t>
  </si>
  <si>
    <t>Pool &amp; Rec Area</t>
  </si>
  <si>
    <t>Pool Heating</t>
  </si>
  <si>
    <t>20 Year Average</t>
  </si>
  <si>
    <t>Pool Total</t>
  </si>
  <si>
    <t>Hourly (total wages / 3000)</t>
  </si>
  <si>
    <t>Staff Hours (6 hours / week, 18 weeks / year)</t>
  </si>
  <si>
    <t>Staff Hours (12 hours / week, 18 weeks / year)</t>
  </si>
  <si>
    <t>Marina Docks</t>
  </si>
  <si>
    <t>Docks Total</t>
  </si>
  <si>
    <t>Pool</t>
  </si>
  <si>
    <t>Docks</t>
  </si>
  <si>
    <t>Fixed dock</t>
  </si>
  <si>
    <t>Segment Components</t>
  </si>
  <si>
    <t>Component v Cost</t>
  </si>
  <si>
    <t>Amenity v Average Costs over 5, 10, and 20 years</t>
  </si>
  <si>
    <t>Marina Floating Dock Finger Lengths
(Two Slips Each)</t>
  </si>
  <si>
    <t>Numbers need validation</t>
  </si>
  <si>
    <t>Staff Hours for refinishing decking on the docks.  3 days every other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</si>
</sst>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??_);_(@_)"/>
  </numFmts>
  <fonts count="1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B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44" fontId="0" fillId="0" borderId="0" xfId="0" applyNumberFormat="1"/>
    <xf numFmtId="164" fontId="0" fillId="0" borderId="0" xfId="1" applyNumberFormat="1" applyFont="1"/>
    <xf numFmtId="1" fontId="1" fillId="7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0" fillId="0" borderId="1" xfId="1" applyNumberFormat="1" applyFont="1" applyBorder="1"/>
    <xf numFmtId="164" fontId="0" fillId="0" borderId="0" xfId="1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0" xfId="0" applyNumberFormat="1"/>
    <xf numFmtId="0" fontId="0" fillId="0" borderId="9" xfId="0" applyBorder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left" vertical="center" wrapText="1"/>
    </xf>
    <xf numFmtId="0" fontId="6" fillId="8" borderId="10" xfId="2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8" borderId="11" xfId="2" applyFont="1" applyFill="1" applyBorder="1" applyAlignment="1">
      <alignment horizontal="center" vertical="center" wrapText="1"/>
    </xf>
    <xf numFmtId="0" fontId="6" fillId="9" borderId="11" xfId="3" applyNumberFormat="1" applyFont="1" applyFill="1" applyBorder="1" applyAlignment="1">
      <alignment horizontal="center" vertical="center"/>
    </xf>
    <xf numFmtId="0" fontId="6" fillId="9" borderId="11" xfId="2" applyFont="1" applyFill="1" applyBorder="1" applyAlignment="1">
      <alignment horizontal="center" vertical="center"/>
    </xf>
    <xf numFmtId="0" fontId="7" fillId="0" borderId="12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42" fontId="6" fillId="0" borderId="7" xfId="2" applyNumberFormat="1" applyFont="1" applyBorder="1" applyAlignment="1">
      <alignment horizontal="center" vertical="center" wrapText="1"/>
    </xf>
    <xf numFmtId="42" fontId="6" fillId="8" borderId="7" xfId="2" applyNumberFormat="1" applyFont="1" applyFill="1" applyBorder="1" applyAlignment="1">
      <alignment horizontal="center" vertical="center" wrapText="1"/>
    </xf>
    <xf numFmtId="42" fontId="6" fillId="8" borderId="2" xfId="2" applyNumberFormat="1" applyFont="1" applyFill="1" applyBorder="1" applyAlignment="1">
      <alignment horizontal="center" vertical="center" wrapText="1"/>
    </xf>
    <xf numFmtId="42" fontId="6" fillId="8" borderId="2" xfId="3" applyNumberFormat="1" applyFont="1" applyFill="1" applyBorder="1" applyAlignment="1">
      <alignment horizontal="center" vertical="center" wrapText="1"/>
    </xf>
    <xf numFmtId="42" fontId="6" fillId="9" borderId="2" xfId="3" applyNumberFormat="1" applyFont="1" applyFill="1" applyBorder="1" applyAlignment="1">
      <alignment horizontal="center" vertical="center"/>
    </xf>
    <xf numFmtId="42" fontId="6" fillId="9" borderId="2" xfId="2" applyNumberFormat="1" applyFont="1" applyFill="1" applyBorder="1" applyAlignment="1">
      <alignment horizontal="center" vertical="center"/>
    </xf>
    <xf numFmtId="42" fontId="7" fillId="0" borderId="13" xfId="2" applyNumberFormat="1" applyFont="1" applyBorder="1" applyAlignment="1">
      <alignment horizontal="center" vertical="center"/>
    </xf>
    <xf numFmtId="42" fontId="7" fillId="0" borderId="2" xfId="2" applyNumberFormat="1" applyFont="1" applyBorder="1" applyAlignment="1">
      <alignment horizontal="center" vertical="center"/>
    </xf>
    <xf numFmtId="42" fontId="8" fillId="0" borderId="4" xfId="2" applyNumberFormat="1" applyFont="1" applyBorder="1" applyAlignment="1">
      <alignment horizontal="left" vertical="center" wrapText="1"/>
    </xf>
    <xf numFmtId="42" fontId="8" fillId="8" borderId="4" xfId="2" applyNumberFormat="1" applyFont="1" applyFill="1" applyBorder="1" applyAlignment="1">
      <alignment horizontal="left" vertical="center" wrapText="1"/>
    </xf>
    <xf numFmtId="42" fontId="8" fillId="8" borderId="1" xfId="2" applyNumberFormat="1" applyFont="1" applyFill="1" applyBorder="1" applyAlignment="1">
      <alignment horizontal="left" vertical="center" wrapText="1"/>
    </xf>
    <xf numFmtId="42" fontId="9" fillId="8" borderId="1" xfId="2" applyNumberFormat="1" applyFont="1" applyFill="1" applyBorder="1" applyAlignment="1">
      <alignment horizontal="center" vertical="center" wrapText="1"/>
    </xf>
    <xf numFmtId="42" fontId="7" fillId="8" borderId="1" xfId="2" applyNumberFormat="1" applyFont="1" applyFill="1" applyBorder="1" applyAlignment="1">
      <alignment horizontal="center" vertical="center" wrapText="1"/>
    </xf>
    <xf numFmtId="42" fontId="7" fillId="9" borderId="1" xfId="3" applyNumberFormat="1" applyFont="1" applyFill="1" applyBorder="1" applyAlignment="1">
      <alignment horizontal="right" vertical="center"/>
    </xf>
    <xf numFmtId="42" fontId="7" fillId="9" borderId="1" xfId="3" applyNumberFormat="1" applyFont="1" applyFill="1" applyBorder="1" applyAlignment="1">
      <alignment horizontal="left" vertical="center"/>
    </xf>
    <xf numFmtId="42" fontId="7" fillId="9" borderId="1" xfId="2" applyNumberFormat="1" applyFont="1" applyFill="1" applyBorder="1" applyAlignment="1">
      <alignment vertical="center"/>
    </xf>
    <xf numFmtId="42" fontId="7" fillId="0" borderId="6" xfId="2" applyNumberFormat="1" applyFont="1" applyBorder="1" applyAlignment="1">
      <alignment vertical="center"/>
    </xf>
    <xf numFmtId="42" fontId="7" fillId="0" borderId="1" xfId="2" applyNumberFormat="1" applyFont="1" applyBorder="1" applyAlignment="1">
      <alignment vertical="center"/>
    </xf>
    <xf numFmtId="42" fontId="6" fillId="4" borderId="4" xfId="2" applyNumberFormat="1" applyFont="1" applyFill="1" applyBorder="1" applyAlignment="1">
      <alignment horizontal="left" vertical="center" wrapText="1"/>
    </xf>
    <xf numFmtId="42" fontId="6" fillId="8" borderId="4" xfId="2" applyNumberFormat="1" applyFont="1" applyFill="1" applyBorder="1" applyAlignment="1">
      <alignment horizontal="left" vertical="center" wrapText="1"/>
    </xf>
    <xf numFmtId="42" fontId="6" fillId="8" borderId="1" xfId="2" applyNumberFormat="1" applyFont="1" applyFill="1" applyBorder="1" applyAlignment="1">
      <alignment horizontal="left" vertical="center" wrapText="1"/>
    </xf>
    <xf numFmtId="42" fontId="7" fillId="8" borderId="1" xfId="2" applyNumberFormat="1" applyFont="1" applyFill="1" applyBorder="1" applyAlignment="1">
      <alignment vertical="center"/>
    </xf>
    <xf numFmtId="42" fontId="7" fillId="4" borderId="4" xfId="2" applyNumberFormat="1" applyFont="1" applyFill="1" applyBorder="1" applyAlignment="1">
      <alignment horizontal="left" vertical="center" wrapText="1"/>
    </xf>
    <xf numFmtId="42" fontId="7" fillId="8" borderId="4" xfId="2" applyNumberFormat="1" applyFont="1" applyFill="1" applyBorder="1" applyAlignment="1">
      <alignment horizontal="left" vertical="center" wrapText="1"/>
    </xf>
    <xf numFmtId="42" fontId="7" fillId="8" borderId="1" xfId="3" applyNumberFormat="1" applyFont="1" applyFill="1" applyBorder="1" applyAlignment="1">
      <alignment horizontal="center" vertical="center" wrapText="1"/>
    </xf>
    <xf numFmtId="42" fontId="6" fillId="0" borderId="4" xfId="3" applyNumberFormat="1" applyFont="1" applyBorder="1" applyAlignment="1">
      <alignment horizontal="left" vertical="center" wrapText="1"/>
    </xf>
    <xf numFmtId="42" fontId="7" fillId="8" borderId="4" xfId="3" applyNumberFormat="1" applyFont="1" applyFill="1" applyBorder="1" applyAlignment="1">
      <alignment horizontal="left" vertical="center" wrapText="1"/>
    </xf>
    <xf numFmtId="42" fontId="7" fillId="0" borderId="4" xfId="3" applyNumberFormat="1" applyFont="1" applyBorder="1" applyAlignment="1">
      <alignment horizontal="left" vertical="center" wrapText="1"/>
    </xf>
    <xf numFmtId="42" fontId="6" fillId="8" borderId="1" xfId="3" applyNumberFormat="1" applyFont="1" applyFill="1" applyBorder="1" applyAlignment="1">
      <alignment horizontal="left" vertical="center" wrapText="1"/>
    </xf>
    <xf numFmtId="42" fontId="7" fillId="8" borderId="1" xfId="3" applyNumberFormat="1" applyFont="1" applyFill="1" applyBorder="1" applyAlignment="1">
      <alignment horizontal="left" vertical="center" wrapText="1"/>
    </xf>
    <xf numFmtId="42" fontId="9" fillId="9" borderId="1" xfId="3" applyNumberFormat="1" applyFont="1" applyFill="1" applyBorder="1" applyAlignment="1">
      <alignment horizontal="right" vertical="center"/>
    </xf>
    <xf numFmtId="42" fontId="10" fillId="9" borderId="1" xfId="3" applyNumberFormat="1" applyFont="1" applyFill="1" applyBorder="1" applyAlignment="1">
      <alignment horizontal="left" vertical="center"/>
    </xf>
    <xf numFmtId="42" fontId="10" fillId="9" borderId="1" xfId="3" applyNumberFormat="1" applyFont="1" applyFill="1" applyBorder="1" applyAlignment="1">
      <alignment vertical="center"/>
    </xf>
    <xf numFmtId="42" fontId="7" fillId="9" borderId="1" xfId="3" applyNumberFormat="1" applyFont="1" applyFill="1" applyBorder="1" applyAlignment="1">
      <alignment vertical="center"/>
    </xf>
    <xf numFmtId="42" fontId="7" fillId="0" borderId="6" xfId="3" applyNumberFormat="1" applyFont="1" applyBorder="1" applyAlignment="1">
      <alignment vertical="center"/>
    </xf>
    <xf numFmtId="42" fontId="7" fillId="0" borderId="1" xfId="3" applyNumberFormat="1" applyFont="1" applyBorder="1" applyAlignment="1">
      <alignment vertical="center"/>
    </xf>
    <xf numFmtId="42" fontId="7" fillId="9" borderId="1" xfId="3" applyNumberFormat="1" applyFont="1" applyFill="1" applyBorder="1" applyAlignment="1">
      <alignment horizontal="center" vertical="center"/>
    </xf>
    <xf numFmtId="41" fontId="7" fillId="8" borderId="1" xfId="3" applyNumberFormat="1" applyFont="1" applyFill="1" applyBorder="1" applyAlignment="1">
      <alignment horizontal="left" vertical="center" wrapText="1"/>
    </xf>
    <xf numFmtId="41" fontId="7" fillId="8" borderId="1" xfId="3" applyNumberFormat="1" applyFont="1" applyFill="1" applyBorder="1" applyAlignment="1">
      <alignment horizontal="center" vertical="center" wrapText="1"/>
    </xf>
    <xf numFmtId="41" fontId="7" fillId="9" borderId="1" xfId="3" applyNumberFormat="1" applyFont="1" applyFill="1" applyBorder="1" applyAlignment="1">
      <alignment horizontal="center" vertical="center"/>
    </xf>
    <xf numFmtId="41" fontId="7" fillId="9" borderId="1" xfId="3" applyNumberFormat="1" applyFont="1" applyFill="1" applyBorder="1" applyAlignment="1">
      <alignment horizontal="right" vertical="center"/>
    </xf>
    <xf numFmtId="41" fontId="7" fillId="9" borderId="1" xfId="3" applyNumberFormat="1" applyFont="1" applyFill="1" applyBorder="1" applyAlignment="1">
      <alignment horizontal="left" vertical="center"/>
    </xf>
    <xf numFmtId="41" fontId="7" fillId="9" borderId="1" xfId="3" applyNumberFormat="1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42" fontId="11" fillId="0" borderId="4" xfId="3" applyNumberFormat="1" applyFont="1" applyBorder="1" applyAlignment="1">
      <alignment horizontal="left" vertical="center" wrapText="1"/>
    </xf>
    <xf numFmtId="42" fontId="11" fillId="8" borderId="4" xfId="3" applyNumberFormat="1" applyFont="1" applyFill="1" applyBorder="1" applyAlignment="1">
      <alignment horizontal="left" vertical="center" wrapText="1"/>
    </xf>
    <xf numFmtId="0" fontId="6" fillId="8" borderId="4" xfId="2" applyFont="1" applyFill="1" applyBorder="1" applyAlignment="1">
      <alignment vertical="center"/>
    </xf>
    <xf numFmtId="0" fontId="6" fillId="0" borderId="4" xfId="2" applyFont="1" applyBorder="1" applyAlignment="1">
      <alignment vertical="center"/>
    </xf>
    <xf numFmtId="42" fontId="7" fillId="0" borderId="1" xfId="2" applyNumberFormat="1" applyFont="1" applyBorder="1" applyAlignment="1">
      <alignment horizontal="center" vertical="center"/>
    </xf>
    <xf numFmtId="42" fontId="6" fillId="8" borderId="4" xfId="3" applyNumberFormat="1" applyFont="1" applyFill="1" applyBorder="1" applyAlignment="1">
      <alignment horizontal="left" vertical="center" wrapText="1"/>
    </xf>
    <xf numFmtId="41" fontId="6" fillId="8" borderId="1" xfId="3" applyNumberFormat="1" applyFont="1" applyFill="1" applyBorder="1" applyAlignment="1">
      <alignment horizontal="left" vertical="center" wrapText="1"/>
    </xf>
    <xf numFmtId="41" fontId="6" fillId="8" borderId="1" xfId="3" applyNumberFormat="1" applyFont="1" applyFill="1" applyBorder="1" applyAlignment="1">
      <alignment horizontal="center" vertical="center" wrapText="1"/>
    </xf>
    <xf numFmtId="41" fontId="6" fillId="9" borderId="1" xfId="3" applyNumberFormat="1" applyFont="1" applyFill="1" applyBorder="1" applyAlignment="1">
      <alignment horizontal="center" vertical="center"/>
    </xf>
    <xf numFmtId="41" fontId="6" fillId="9" borderId="1" xfId="3" applyNumberFormat="1" applyFont="1" applyFill="1" applyBorder="1" applyAlignment="1">
      <alignment horizontal="right" vertical="center"/>
    </xf>
    <xf numFmtId="41" fontId="6" fillId="9" borderId="1" xfId="3" applyNumberFormat="1" applyFont="1" applyFill="1" applyBorder="1" applyAlignment="1">
      <alignment horizontal="left" vertical="center"/>
    </xf>
    <xf numFmtId="42" fontId="6" fillId="9" borderId="1" xfId="3" applyNumberFormat="1" applyFont="1" applyFill="1" applyBorder="1" applyAlignment="1">
      <alignment vertical="center"/>
    </xf>
    <xf numFmtId="42" fontId="6" fillId="0" borderId="6" xfId="3" applyNumberFormat="1" applyFont="1" applyBorder="1" applyAlignment="1">
      <alignment vertical="center"/>
    </xf>
    <xf numFmtId="42" fontId="6" fillId="0" borderId="1" xfId="3" applyNumberFormat="1" applyFont="1" applyBorder="1" applyAlignment="1">
      <alignment vertical="center"/>
    </xf>
    <xf numFmtId="42" fontId="8" fillId="0" borderId="4" xfId="3" applyNumberFormat="1" applyFont="1" applyBorder="1" applyAlignment="1">
      <alignment horizontal="left" vertical="center" wrapText="1"/>
    </xf>
    <xf numFmtId="42" fontId="7" fillId="8" borderId="1" xfId="3" applyNumberFormat="1" applyFont="1" applyFill="1" applyBorder="1" applyAlignment="1">
      <alignment vertical="center"/>
    </xf>
    <xf numFmtId="42" fontId="7" fillId="0" borderId="14" xfId="3" applyNumberFormat="1" applyFont="1" applyBorder="1" applyAlignment="1">
      <alignment vertical="center"/>
    </xf>
    <xf numFmtId="42" fontId="6" fillId="0" borderId="15" xfId="3" applyNumberFormat="1" applyFont="1" applyBorder="1" applyAlignment="1">
      <alignment horizontal="left" vertical="center" wrapText="1"/>
    </xf>
    <xf numFmtId="42" fontId="6" fillId="8" borderId="15" xfId="3" applyNumberFormat="1" applyFont="1" applyFill="1" applyBorder="1" applyAlignment="1">
      <alignment horizontal="left" vertical="center" wrapText="1"/>
    </xf>
    <xf numFmtId="41" fontId="6" fillId="8" borderId="14" xfId="3" applyNumberFormat="1" applyFont="1" applyFill="1" applyBorder="1" applyAlignment="1">
      <alignment horizontal="left" vertical="center" wrapText="1"/>
    </xf>
    <xf numFmtId="41" fontId="7" fillId="8" borderId="14" xfId="3" applyNumberFormat="1" applyFont="1" applyFill="1" applyBorder="1" applyAlignment="1">
      <alignment horizontal="left" vertical="center" wrapText="1"/>
    </xf>
    <xf numFmtId="41" fontId="7" fillId="8" borderId="16" xfId="3" applyNumberFormat="1" applyFont="1" applyFill="1" applyBorder="1" applyAlignment="1">
      <alignment horizontal="center" vertical="center" wrapText="1"/>
    </xf>
    <xf numFmtId="41" fontId="7" fillId="9" borderId="14" xfId="3" applyNumberFormat="1" applyFont="1" applyFill="1" applyBorder="1" applyAlignment="1">
      <alignment horizontal="center" vertical="center"/>
    </xf>
    <xf numFmtId="41" fontId="7" fillId="9" borderId="14" xfId="3" applyNumberFormat="1" applyFont="1" applyFill="1" applyBorder="1" applyAlignment="1">
      <alignment horizontal="right" vertical="center"/>
    </xf>
    <xf numFmtId="41" fontId="7" fillId="9" borderId="14" xfId="3" applyNumberFormat="1" applyFont="1" applyFill="1" applyBorder="1" applyAlignment="1">
      <alignment horizontal="left" vertical="center"/>
    </xf>
    <xf numFmtId="42" fontId="7" fillId="9" borderId="14" xfId="3" applyNumberFormat="1" applyFont="1" applyFill="1" applyBorder="1" applyAlignment="1">
      <alignment vertical="center"/>
    </xf>
    <xf numFmtId="42" fontId="7" fillId="0" borderId="17" xfId="3" applyNumberFormat="1" applyFont="1" applyBorder="1" applyAlignment="1">
      <alignment vertical="center"/>
    </xf>
    <xf numFmtId="42" fontId="6" fillId="0" borderId="18" xfId="4" applyNumberFormat="1" applyFont="1" applyBorder="1" applyAlignment="1">
      <alignment vertical="center"/>
    </xf>
    <xf numFmtId="42" fontId="6" fillId="0" borderId="19" xfId="4" applyNumberFormat="1" applyFont="1" applyBorder="1" applyAlignment="1">
      <alignment horizontal="left" vertical="center" wrapText="1" indent="1"/>
    </xf>
    <xf numFmtId="42" fontId="6" fillId="8" borderId="19" xfId="4" applyNumberFormat="1" applyFont="1" applyFill="1" applyBorder="1" applyAlignment="1">
      <alignment horizontal="left" vertical="center" wrapText="1" indent="1"/>
    </xf>
    <xf numFmtId="42" fontId="6" fillId="8" borderId="18" xfId="4" applyNumberFormat="1" applyFont="1" applyFill="1" applyBorder="1" applyAlignment="1">
      <alignment horizontal="left" vertical="center" wrapText="1" indent="1"/>
    </xf>
    <xf numFmtId="42" fontId="6" fillId="8" borderId="18" xfId="4" applyNumberFormat="1" applyFont="1" applyFill="1" applyBorder="1" applyAlignment="1">
      <alignment horizontal="center" vertical="center" wrapText="1"/>
    </xf>
    <xf numFmtId="42" fontId="6" fillId="8" borderId="18" xfId="4" applyNumberFormat="1" applyFont="1" applyFill="1" applyBorder="1" applyAlignment="1">
      <alignment vertical="center" wrapText="1"/>
    </xf>
    <xf numFmtId="42" fontId="6" fillId="9" borderId="18" xfId="4" applyNumberFormat="1" applyFont="1" applyFill="1" applyBorder="1" applyAlignment="1">
      <alignment horizontal="center" vertical="center"/>
    </xf>
    <xf numFmtId="42" fontId="6" fillId="9" borderId="18" xfId="4" applyNumberFormat="1" applyFont="1" applyFill="1" applyBorder="1" applyAlignment="1">
      <alignment vertical="center"/>
    </xf>
    <xf numFmtId="42" fontId="6" fillId="0" borderId="20" xfId="4" applyNumberFormat="1" applyFont="1" applyBorder="1" applyAlignment="1">
      <alignment vertical="center"/>
    </xf>
    <xf numFmtId="42" fontId="6" fillId="0" borderId="2" xfId="2" applyNumberFormat="1" applyFont="1" applyBorder="1" applyAlignment="1">
      <alignment vertical="center"/>
    </xf>
    <xf numFmtId="42" fontId="7" fillId="0" borderId="7" xfId="2" applyNumberFormat="1" applyFont="1" applyBorder="1" applyAlignment="1">
      <alignment horizontal="left" vertical="center" wrapText="1"/>
    </xf>
    <xf numFmtId="42" fontId="7" fillId="8" borderId="7" xfId="2" applyNumberFormat="1" applyFont="1" applyFill="1" applyBorder="1" applyAlignment="1">
      <alignment horizontal="left" vertical="center" wrapText="1"/>
    </xf>
    <xf numFmtId="42" fontId="7" fillId="8" borderId="2" xfId="2" applyNumberFormat="1" applyFont="1" applyFill="1" applyBorder="1" applyAlignment="1">
      <alignment horizontal="left" vertical="center" wrapText="1"/>
    </xf>
    <xf numFmtId="42" fontId="7" fillId="8" borderId="21" xfId="2" applyNumberFormat="1" applyFont="1" applyFill="1" applyBorder="1" applyAlignment="1">
      <alignment horizontal="center" vertical="center" wrapText="1"/>
    </xf>
    <xf numFmtId="42" fontId="7" fillId="9" borderId="2" xfId="3" applyNumberFormat="1" applyFont="1" applyFill="1" applyBorder="1" applyAlignment="1">
      <alignment horizontal="right" vertical="center"/>
    </xf>
    <xf numFmtId="42" fontId="6" fillId="9" borderId="2" xfId="2" applyNumberFormat="1" applyFont="1" applyFill="1" applyBorder="1" applyAlignment="1">
      <alignment vertical="center"/>
    </xf>
    <xf numFmtId="42" fontId="6" fillId="0" borderId="13" xfId="2" applyNumberFormat="1" applyFont="1" applyBorder="1" applyAlignment="1">
      <alignment vertical="center"/>
    </xf>
    <xf numFmtId="42" fontId="11" fillId="0" borderId="4" xfId="2" applyNumberFormat="1" applyFont="1" applyBorder="1" applyAlignment="1">
      <alignment horizontal="left" vertical="center" wrapText="1"/>
    </xf>
    <xf numFmtId="42" fontId="11" fillId="8" borderId="4" xfId="2" applyNumberFormat="1" applyFont="1" applyFill="1" applyBorder="1" applyAlignment="1">
      <alignment horizontal="left" vertical="center" wrapText="1"/>
    </xf>
    <xf numFmtId="42" fontId="11" fillId="8" borderId="1" xfId="2" applyNumberFormat="1" applyFont="1" applyFill="1" applyBorder="1" applyAlignment="1">
      <alignment horizontal="left" vertical="center" wrapText="1"/>
    </xf>
    <xf numFmtId="42" fontId="10" fillId="8" borderId="1" xfId="2" applyNumberFormat="1" applyFont="1" applyFill="1" applyBorder="1" applyAlignment="1">
      <alignment horizontal="center" vertical="center" wrapText="1"/>
    </xf>
    <xf numFmtId="42" fontId="10" fillId="9" borderId="1" xfId="2" applyNumberFormat="1" applyFont="1" applyFill="1" applyBorder="1" applyAlignment="1">
      <alignment vertical="center"/>
    </xf>
    <xf numFmtId="42" fontId="10" fillId="0" borderId="4" xfId="2" applyNumberFormat="1" applyFont="1" applyBorder="1" applyAlignment="1">
      <alignment horizontal="left" vertical="center" wrapText="1"/>
    </xf>
    <xf numFmtId="42" fontId="10" fillId="8" borderId="4" xfId="2" applyNumberFormat="1" applyFont="1" applyFill="1" applyBorder="1" applyAlignment="1">
      <alignment horizontal="left" vertical="center" wrapText="1"/>
    </xf>
    <xf numFmtId="41" fontId="10" fillId="8" borderId="1" xfId="2" applyNumberFormat="1" applyFont="1" applyFill="1" applyBorder="1" applyAlignment="1">
      <alignment horizontal="left" vertical="center" wrapText="1"/>
    </xf>
    <xf numFmtId="41" fontId="10" fillId="8" borderId="1" xfId="2" applyNumberFormat="1" applyFont="1" applyFill="1" applyBorder="1" applyAlignment="1">
      <alignment horizontal="center" vertical="center" wrapText="1"/>
    </xf>
    <xf numFmtId="41" fontId="9" fillId="9" borderId="1" xfId="3" applyNumberFormat="1" applyFont="1" applyFill="1" applyBorder="1" applyAlignment="1">
      <alignment horizontal="right" vertical="center"/>
    </xf>
    <xf numFmtId="41" fontId="10" fillId="9" borderId="1" xfId="3" applyNumberFormat="1" applyFont="1" applyFill="1" applyBorder="1" applyAlignment="1">
      <alignment horizontal="left" vertical="center"/>
    </xf>
    <xf numFmtId="42" fontId="6" fillId="0" borderId="4" xfId="2" applyNumberFormat="1" applyFont="1" applyBorder="1" applyAlignment="1">
      <alignment horizontal="left" vertical="center" wrapText="1"/>
    </xf>
    <xf numFmtId="41" fontId="6" fillId="8" borderId="1" xfId="2" applyNumberFormat="1" applyFont="1" applyFill="1" applyBorder="1" applyAlignment="1">
      <alignment horizontal="left" vertical="center" wrapText="1"/>
    </xf>
    <xf numFmtId="42" fontId="7" fillId="0" borderId="15" xfId="3" applyNumberFormat="1" applyFont="1" applyBorder="1" applyAlignment="1">
      <alignment horizontal="left" vertical="center" wrapText="1"/>
    </xf>
    <xf numFmtId="42" fontId="7" fillId="8" borderId="14" xfId="3" applyNumberFormat="1" applyFont="1" applyFill="1" applyBorder="1" applyAlignment="1">
      <alignment vertical="center"/>
    </xf>
    <xf numFmtId="42" fontId="12" fillId="8" borderId="15" xfId="3" applyNumberFormat="1" applyFont="1" applyFill="1" applyBorder="1" applyAlignment="1">
      <alignment horizontal="left" vertical="center" wrapText="1"/>
    </xf>
    <xf numFmtId="42" fontId="7" fillId="8" borderId="15" xfId="3" applyNumberFormat="1" applyFont="1" applyFill="1" applyBorder="1" applyAlignment="1">
      <alignment horizontal="left" vertical="center" wrapText="1"/>
    </xf>
    <xf numFmtId="41" fontId="7" fillId="8" borderId="14" xfId="3" applyNumberFormat="1" applyFont="1" applyFill="1" applyBorder="1" applyAlignment="1">
      <alignment horizontal="center" vertical="center" wrapText="1"/>
    </xf>
    <xf numFmtId="42" fontId="6" fillId="0" borderId="19" xfId="4" applyNumberFormat="1" applyFont="1" applyBorder="1" applyAlignment="1">
      <alignment horizontal="left" vertical="center" wrapText="1"/>
    </xf>
    <xf numFmtId="42" fontId="6" fillId="8" borderId="18" xfId="4" applyNumberFormat="1" applyFont="1" applyFill="1" applyBorder="1" applyAlignment="1">
      <alignment vertical="center"/>
    </xf>
    <xf numFmtId="42" fontId="6" fillId="8" borderId="19" xfId="4" applyNumberFormat="1" applyFont="1" applyFill="1" applyBorder="1" applyAlignment="1">
      <alignment horizontal="left" vertical="center" wrapText="1"/>
    </xf>
    <xf numFmtId="42" fontId="6" fillId="8" borderId="18" xfId="4" applyNumberFormat="1" applyFont="1" applyFill="1" applyBorder="1" applyAlignment="1">
      <alignment horizontal="left" vertical="center" wrapText="1"/>
    </xf>
    <xf numFmtId="42" fontId="6" fillId="8" borderId="18" xfId="3" applyNumberFormat="1" applyFont="1" applyFill="1" applyBorder="1" applyAlignment="1">
      <alignment horizontal="center" vertical="center" wrapText="1"/>
    </xf>
    <xf numFmtId="42" fontId="7" fillId="9" borderId="2" xfId="3" applyNumberFormat="1" applyFont="1" applyFill="1" applyBorder="1" applyAlignment="1">
      <alignment horizontal="left" vertical="center"/>
    </xf>
    <xf numFmtId="42" fontId="7" fillId="9" borderId="2" xfId="2" applyNumberFormat="1" applyFont="1" applyFill="1" applyBorder="1" applyAlignment="1">
      <alignment vertical="center"/>
    </xf>
    <xf numFmtId="42" fontId="7" fillId="9" borderId="2" xfId="3" applyNumberFormat="1" applyFont="1" applyFill="1" applyBorder="1" applyAlignment="1">
      <alignment vertical="center"/>
    </xf>
    <xf numFmtId="42" fontId="7" fillId="0" borderId="13" xfId="2" applyNumberFormat="1" applyFont="1" applyBorder="1" applyAlignment="1">
      <alignment vertical="center"/>
    </xf>
    <xf numFmtId="42" fontId="7" fillId="0" borderId="2" xfId="2" applyNumberFormat="1" applyFont="1" applyBorder="1" applyAlignment="1">
      <alignment vertical="center"/>
    </xf>
    <xf numFmtId="42" fontId="6" fillId="8" borderId="1" xfId="3" applyNumberFormat="1" applyFont="1" applyFill="1" applyBorder="1" applyAlignment="1">
      <alignment horizontal="center" vertical="center" wrapText="1"/>
    </xf>
    <xf numFmtId="41" fontId="7" fillId="8" borderId="16" xfId="3" applyNumberFormat="1" applyFont="1" applyFill="1" applyBorder="1" applyAlignment="1">
      <alignment horizontal="left" vertical="center" wrapText="1"/>
    </xf>
    <xf numFmtId="42" fontId="6" fillId="8" borderId="18" xfId="3" applyNumberFormat="1" applyFont="1" applyFill="1" applyBorder="1" applyAlignment="1">
      <alignment horizontal="right" vertical="center" wrapText="1"/>
    </xf>
    <xf numFmtId="42" fontId="7" fillId="0" borderId="7" xfId="2" applyNumberFormat="1" applyFont="1" applyBorder="1" applyAlignment="1">
      <alignment vertical="center"/>
    </xf>
    <xf numFmtId="42" fontId="6" fillId="0" borderId="7" xfId="2" applyNumberFormat="1" applyFont="1" applyBorder="1" applyAlignment="1">
      <alignment vertical="center" wrapText="1"/>
    </xf>
    <xf numFmtId="42" fontId="6" fillId="8" borderId="7" xfId="2" applyNumberFormat="1" applyFont="1" applyFill="1" applyBorder="1" applyAlignment="1">
      <alignment vertical="center" wrapText="1"/>
    </xf>
    <xf numFmtId="42" fontId="6" fillId="8" borderId="2" xfId="2" applyNumberFormat="1" applyFont="1" applyFill="1" applyBorder="1" applyAlignment="1">
      <alignment vertical="center" wrapText="1"/>
    </xf>
    <xf numFmtId="41" fontId="7" fillId="0" borderId="6" xfId="3" applyNumberFormat="1" applyFont="1" applyBorder="1" applyAlignment="1">
      <alignment vertical="center"/>
    </xf>
    <xf numFmtId="41" fontId="7" fillId="0" borderId="1" xfId="3" applyNumberFormat="1" applyFont="1" applyBorder="1" applyAlignment="1">
      <alignment vertical="center"/>
    </xf>
    <xf numFmtId="41" fontId="7" fillId="9" borderId="14" xfId="3" applyNumberFormat="1" applyFont="1" applyFill="1" applyBorder="1" applyAlignment="1">
      <alignment vertical="center"/>
    </xf>
    <xf numFmtId="41" fontId="7" fillId="0" borderId="17" xfId="3" applyNumberFormat="1" applyFont="1" applyBorder="1" applyAlignment="1">
      <alignment vertical="center"/>
    </xf>
    <xf numFmtId="41" fontId="7" fillId="0" borderId="14" xfId="3" applyNumberFormat="1" applyFont="1" applyBorder="1" applyAlignment="1">
      <alignment vertical="center"/>
    </xf>
    <xf numFmtId="42" fontId="6" fillId="0" borderId="18" xfId="4" applyNumberFormat="1" applyFont="1" applyBorder="1" applyAlignment="1">
      <alignment horizontal="right" vertical="center"/>
    </xf>
    <xf numFmtId="42" fontId="6" fillId="0" borderId="19" xfId="4" applyNumberFormat="1" applyFont="1" applyBorder="1" applyAlignment="1">
      <alignment horizontal="left" vertical="center" wrapText="1" indent="2"/>
    </xf>
    <xf numFmtId="42" fontId="6" fillId="8" borderId="19" xfId="4" applyNumberFormat="1" applyFont="1" applyFill="1" applyBorder="1" applyAlignment="1">
      <alignment horizontal="left" vertical="center" wrapText="1" indent="2"/>
    </xf>
    <xf numFmtId="42" fontId="6" fillId="8" borderId="18" xfId="4" applyNumberFormat="1" applyFont="1" applyFill="1" applyBorder="1" applyAlignment="1">
      <alignment horizontal="left" vertical="center" wrapText="1" indent="2"/>
    </xf>
    <xf numFmtId="42" fontId="6" fillId="8" borderId="18" xfId="4" applyNumberFormat="1" applyFont="1" applyFill="1" applyBorder="1" applyAlignment="1">
      <alignment horizontal="right" vertical="center" wrapText="1"/>
    </xf>
    <xf numFmtId="42" fontId="6" fillId="9" borderId="18" xfId="4" applyNumberFormat="1" applyFont="1" applyFill="1" applyBorder="1" applyAlignment="1">
      <alignment horizontal="right" vertical="center"/>
    </xf>
    <xf numFmtId="42" fontId="6" fillId="0" borderId="20" xfId="4" applyNumberFormat="1" applyFont="1" applyBorder="1" applyAlignment="1">
      <alignment horizontal="right" vertical="center"/>
    </xf>
    <xf numFmtId="42" fontId="7" fillId="8" borderId="2" xfId="2" applyNumberFormat="1" applyFont="1" applyFill="1" applyBorder="1" applyAlignment="1">
      <alignment horizontal="center" vertical="center" wrapText="1"/>
    </xf>
    <xf numFmtId="165" fontId="7" fillId="8" borderId="4" xfId="3" applyNumberFormat="1" applyFont="1" applyFill="1" applyBorder="1" applyAlignment="1">
      <alignment horizontal="left" vertical="center" wrapText="1"/>
    </xf>
    <xf numFmtId="42" fontId="7" fillId="8" borderId="14" xfId="3" applyNumberFormat="1" applyFont="1" applyFill="1" applyBorder="1" applyAlignment="1">
      <alignment horizontal="left" vertical="center" wrapText="1"/>
    </xf>
    <xf numFmtId="42" fontId="7" fillId="8" borderId="16" xfId="3" applyNumberFormat="1" applyFont="1" applyFill="1" applyBorder="1" applyAlignment="1">
      <alignment horizontal="center" vertical="center" wrapText="1"/>
    </xf>
    <xf numFmtId="42" fontId="7" fillId="9" borderId="14" xfId="3" applyNumberFormat="1" applyFont="1" applyFill="1" applyBorder="1" applyAlignment="1">
      <alignment horizontal="right" vertical="center"/>
    </xf>
    <xf numFmtId="42" fontId="7" fillId="9" borderId="14" xfId="3" applyNumberFormat="1" applyFont="1" applyFill="1" applyBorder="1" applyAlignment="1">
      <alignment horizontal="left" vertical="center"/>
    </xf>
    <xf numFmtId="42" fontId="6" fillId="9" borderId="18" xfId="3" applyNumberFormat="1" applyFont="1" applyFill="1" applyBorder="1" applyAlignment="1">
      <alignment horizontal="left" vertical="center"/>
    </xf>
    <xf numFmtId="42" fontId="6" fillId="9" borderId="18" xfId="4" applyNumberFormat="1" applyFont="1" applyFill="1" applyBorder="1" applyAlignment="1">
      <alignment horizontal="left" vertical="center"/>
    </xf>
    <xf numFmtId="42" fontId="7" fillId="0" borderId="22" xfId="2" applyNumberFormat="1" applyFont="1" applyBorder="1" applyAlignment="1">
      <alignment vertical="center"/>
    </xf>
    <xf numFmtId="42" fontId="7" fillId="0" borderId="22" xfId="2" applyNumberFormat="1" applyFont="1" applyBorder="1" applyAlignment="1">
      <alignment horizontal="left" vertical="center" wrapText="1"/>
    </xf>
    <xf numFmtId="42" fontId="7" fillId="8" borderId="22" xfId="2" applyNumberFormat="1" applyFont="1" applyFill="1" applyBorder="1" applyAlignment="1">
      <alignment horizontal="left" vertical="center" wrapText="1"/>
    </xf>
    <xf numFmtId="42" fontId="7" fillId="8" borderId="18" xfId="2" applyNumberFormat="1" applyFont="1" applyFill="1" applyBorder="1" applyAlignment="1">
      <alignment horizontal="left" vertical="center" wrapText="1"/>
    </xf>
    <xf numFmtId="42" fontId="7" fillId="8" borderId="18" xfId="3" applyNumberFormat="1" applyFont="1" applyFill="1" applyBorder="1" applyAlignment="1">
      <alignment horizontal="left" vertical="center" wrapText="1"/>
    </xf>
    <xf numFmtId="42" fontId="7" fillId="9" borderId="18" xfId="3" applyNumberFormat="1" applyFont="1" applyFill="1" applyBorder="1" applyAlignment="1">
      <alignment horizontal="left" vertical="center"/>
    </xf>
    <xf numFmtId="42" fontId="7" fillId="9" borderId="18" xfId="3" applyNumberFormat="1" applyFont="1" applyFill="1" applyBorder="1" applyAlignment="1">
      <alignment vertical="center"/>
    </xf>
    <xf numFmtId="42" fontId="8" fillId="0" borderId="19" xfId="4" applyNumberFormat="1" applyFont="1" applyBorder="1" applyAlignment="1">
      <alignment horizontal="left" vertical="center" wrapText="1" indent="1"/>
    </xf>
    <xf numFmtId="42" fontId="8" fillId="8" borderId="19" xfId="4" applyNumberFormat="1" applyFont="1" applyFill="1" applyBorder="1" applyAlignment="1">
      <alignment horizontal="left" vertical="center" wrapText="1" indent="1"/>
    </xf>
    <xf numFmtId="42" fontId="8" fillId="8" borderId="18" xfId="4" applyNumberFormat="1" applyFont="1" applyFill="1" applyBorder="1" applyAlignment="1">
      <alignment horizontal="justify" vertical="center" wrapText="1"/>
    </xf>
    <xf numFmtId="42" fontId="6" fillId="0" borderId="22" xfId="4" applyNumberFormat="1" applyFont="1" applyBorder="1" applyAlignment="1">
      <alignment vertical="center"/>
    </xf>
    <xf numFmtId="42" fontId="6" fillId="0" borderId="22" xfId="4" applyNumberFormat="1" applyFont="1" applyBorder="1" applyAlignment="1">
      <alignment horizontal="left" vertical="center" wrapText="1" indent="1"/>
    </xf>
    <xf numFmtId="42" fontId="6" fillId="8" borderId="22" xfId="4" applyNumberFormat="1" applyFont="1" applyFill="1" applyBorder="1" applyAlignment="1">
      <alignment horizontal="left" vertical="center" wrapText="1" indent="1"/>
    </xf>
    <xf numFmtId="42" fontId="6" fillId="8" borderId="18" xfId="4" applyNumberFormat="1" applyFont="1" applyFill="1" applyBorder="1" applyAlignment="1">
      <alignment horizontal="justify" vertical="center" wrapText="1"/>
    </xf>
    <xf numFmtId="42" fontId="6" fillId="9" borderId="18" xfId="4" applyNumberFormat="1" applyFont="1" applyFill="1" applyBorder="1" applyAlignment="1">
      <alignment horizontal="left" vertical="center" wrapText="1"/>
    </xf>
    <xf numFmtId="42" fontId="6" fillId="0" borderId="22" xfId="4" applyNumberFormat="1" applyFont="1" applyBorder="1" applyAlignment="1">
      <alignment horizontal="left" vertical="center" wrapText="1"/>
    </xf>
    <xf numFmtId="42" fontId="6" fillId="8" borderId="22" xfId="4" applyNumberFormat="1" applyFont="1" applyFill="1" applyBorder="1" applyAlignment="1">
      <alignment horizontal="left" vertical="center" wrapText="1"/>
    </xf>
    <xf numFmtId="42" fontId="7" fillId="0" borderId="18" xfId="4" applyNumberFormat="1" applyFont="1" applyBorder="1" applyAlignment="1">
      <alignment vertical="center"/>
    </xf>
    <xf numFmtId="42" fontId="8" fillId="0" borderId="19" xfId="4" applyNumberFormat="1" applyFont="1" applyBorder="1" applyAlignment="1">
      <alignment horizontal="left" vertical="center" wrapText="1" indent="2"/>
    </xf>
    <xf numFmtId="42" fontId="8" fillId="8" borderId="19" xfId="4" applyNumberFormat="1" applyFont="1" applyFill="1" applyBorder="1" applyAlignment="1">
      <alignment horizontal="left" vertical="center" wrapText="1" indent="2"/>
    </xf>
    <xf numFmtId="42" fontId="6" fillId="8" borderId="18" xfId="4" applyNumberFormat="1" applyFont="1" applyFill="1" applyBorder="1" applyAlignment="1">
      <alignment horizontal="left" vertical="center"/>
    </xf>
    <xf numFmtId="42" fontId="7" fillId="0" borderId="20" xfId="4" applyNumberFormat="1" applyFont="1" applyBorder="1" applyAlignment="1">
      <alignment vertical="center"/>
    </xf>
    <xf numFmtId="42" fontId="6" fillId="0" borderId="23" xfId="4" applyNumberFormat="1" applyFont="1" applyBorder="1" applyAlignment="1">
      <alignment vertical="center"/>
    </xf>
    <xf numFmtId="42" fontId="6" fillId="0" borderId="8" xfId="4" applyNumberFormat="1" applyFont="1" applyBorder="1" applyAlignment="1">
      <alignment horizontal="left" vertical="center" wrapText="1"/>
    </xf>
    <xf numFmtId="42" fontId="6" fillId="8" borderId="8" xfId="4" applyNumberFormat="1" applyFont="1" applyFill="1" applyBorder="1" applyAlignment="1">
      <alignment horizontal="left" vertical="center" wrapText="1"/>
    </xf>
    <xf numFmtId="42" fontId="6" fillId="8" borderId="0" xfId="4" applyNumberFormat="1" applyFont="1" applyFill="1" applyBorder="1" applyAlignment="1">
      <alignment horizontal="left" vertical="center" wrapText="1"/>
    </xf>
    <xf numFmtId="42" fontId="6" fillId="8" borderId="0" xfId="3" applyNumberFormat="1" applyFont="1" applyFill="1" applyBorder="1" applyAlignment="1">
      <alignment horizontal="center" vertical="center" wrapText="1"/>
    </xf>
    <xf numFmtId="42" fontId="6" fillId="8" borderId="23" xfId="4" applyNumberFormat="1" applyFont="1" applyFill="1" applyBorder="1" applyAlignment="1">
      <alignment vertical="center" wrapText="1"/>
    </xf>
    <xf numFmtId="42" fontId="6" fillId="9" borderId="23" xfId="4" applyNumberFormat="1" applyFont="1" applyFill="1" applyBorder="1" applyAlignment="1">
      <alignment vertical="center"/>
    </xf>
    <xf numFmtId="10" fontId="6" fillId="8" borderId="0" xfId="4" applyNumberFormat="1" applyFont="1" applyFill="1" applyBorder="1" applyAlignment="1">
      <alignment horizontal="left" vertical="center" wrapText="1"/>
    </xf>
    <xf numFmtId="42" fontId="6" fillId="0" borderId="24" xfId="2" applyNumberFormat="1" applyFont="1" applyBorder="1" applyAlignment="1">
      <alignment vertical="center"/>
    </xf>
    <xf numFmtId="42" fontId="8" fillId="0" borderId="25" xfId="2" applyNumberFormat="1" applyFont="1" applyBorder="1" applyAlignment="1">
      <alignment horizontal="left" vertical="center" wrapText="1"/>
    </xf>
    <xf numFmtId="42" fontId="8" fillId="8" borderId="25" xfId="2" applyNumberFormat="1" applyFont="1" applyFill="1" applyBorder="1" applyAlignment="1">
      <alignment horizontal="left" vertical="center" wrapText="1"/>
    </xf>
    <xf numFmtId="42" fontId="6" fillId="8" borderId="25" xfId="2" applyNumberFormat="1" applyFont="1" applyFill="1" applyBorder="1" applyAlignment="1">
      <alignment horizontal="left" vertical="center" wrapText="1"/>
    </xf>
    <xf numFmtId="42" fontId="6" fillId="8" borderId="24" xfId="2" applyNumberFormat="1" applyFont="1" applyFill="1" applyBorder="1" applyAlignment="1">
      <alignment horizontal="left" vertical="center" wrapText="1"/>
    </xf>
    <xf numFmtId="42" fontId="6" fillId="8" borderId="24" xfId="2" applyNumberFormat="1" applyFont="1" applyFill="1" applyBorder="1" applyAlignment="1">
      <alignment horizontal="center" vertical="center" wrapText="1"/>
    </xf>
    <xf numFmtId="42" fontId="7" fillId="8" borderId="24" xfId="2" applyNumberFormat="1" applyFont="1" applyFill="1" applyBorder="1" applyAlignment="1">
      <alignment horizontal="center" vertical="center" wrapText="1"/>
    </xf>
    <xf numFmtId="42" fontId="7" fillId="9" borderId="24" xfId="3" applyNumberFormat="1" applyFont="1" applyFill="1" applyBorder="1" applyAlignment="1">
      <alignment horizontal="right" vertical="center"/>
    </xf>
    <xf numFmtId="42" fontId="6" fillId="9" borderId="24" xfId="2" applyNumberFormat="1" applyFont="1" applyFill="1" applyBorder="1" applyAlignment="1">
      <alignment vertical="center"/>
    </xf>
    <xf numFmtId="42" fontId="6" fillId="0" borderId="7" xfId="2" applyNumberFormat="1" applyFont="1" applyBorder="1" applyAlignment="1">
      <alignment vertical="center"/>
    </xf>
    <xf numFmtId="42" fontId="6" fillId="8" borderId="7" xfId="2" applyNumberFormat="1" applyFont="1" applyFill="1" applyBorder="1" applyAlignment="1">
      <alignment horizontal="left" vertical="center" wrapText="1"/>
    </xf>
    <xf numFmtId="42" fontId="6" fillId="0" borderId="7" xfId="2" applyNumberFormat="1" applyFont="1" applyBorder="1" applyAlignment="1">
      <alignment horizontal="left" vertical="center" wrapText="1"/>
    </xf>
    <xf numFmtId="42" fontId="6" fillId="8" borderId="2" xfId="2" applyNumberFormat="1" applyFont="1" applyFill="1" applyBorder="1" applyAlignment="1">
      <alignment horizontal="left" vertical="center" wrapText="1"/>
    </xf>
    <xf numFmtId="41" fontId="6" fillId="8" borderId="2" xfId="3" applyNumberFormat="1" applyFont="1" applyFill="1" applyBorder="1" applyAlignment="1">
      <alignment horizontal="left" vertical="center" wrapText="1"/>
    </xf>
    <xf numFmtId="42" fontId="6" fillId="0" borderId="4" xfId="2" applyNumberFormat="1" applyFont="1" applyBorder="1" applyAlignment="1">
      <alignment vertical="center"/>
    </xf>
    <xf numFmtId="42" fontId="7" fillId="0" borderId="4" xfId="2" applyNumberFormat="1" applyFont="1" applyBorder="1" applyAlignment="1">
      <alignment horizontal="left" vertical="center" wrapText="1"/>
    </xf>
    <xf numFmtId="42" fontId="6" fillId="8" borderId="1" xfId="2" applyNumberFormat="1" applyFont="1" applyFill="1" applyBorder="1" applyAlignment="1">
      <alignment horizontal="center" vertical="center" wrapText="1"/>
    </xf>
    <xf numFmtId="42" fontId="6" fillId="9" borderId="1" xfId="3" applyNumberFormat="1" applyFont="1" applyFill="1" applyBorder="1" applyAlignment="1">
      <alignment horizontal="right" vertical="center"/>
    </xf>
    <xf numFmtId="42" fontId="6" fillId="9" borderId="1" xfId="2" applyNumberFormat="1" applyFont="1" applyFill="1" applyBorder="1" applyAlignment="1">
      <alignment vertical="center"/>
    </xf>
    <xf numFmtId="42" fontId="6" fillId="0" borderId="1" xfId="2" applyNumberFormat="1" applyFont="1" applyBorder="1" applyAlignment="1">
      <alignment vertical="center"/>
    </xf>
    <xf numFmtId="42" fontId="7" fillId="8" borderId="5" xfId="3" applyNumberFormat="1" applyFont="1" applyFill="1" applyBorder="1" applyAlignment="1">
      <alignment horizontal="left" vertical="center" wrapText="1"/>
    </xf>
    <xf numFmtId="42" fontId="6" fillId="8" borderId="4" xfId="3" applyNumberFormat="1" applyFont="1" applyFill="1" applyBorder="1" applyAlignment="1">
      <alignment horizontal="center" vertical="center" wrapText="1"/>
    </xf>
    <xf numFmtId="42" fontId="7" fillId="8" borderId="6" xfId="3" applyNumberFormat="1" applyFont="1" applyFill="1" applyBorder="1" applyAlignment="1">
      <alignment horizontal="center" vertical="center" wrapText="1"/>
    </xf>
    <xf numFmtId="42" fontId="7" fillId="8" borderId="26" xfId="3" applyNumberFormat="1" applyFont="1" applyFill="1" applyBorder="1" applyAlignment="1">
      <alignment horizontal="left" vertical="center" wrapText="1"/>
    </xf>
    <xf numFmtId="42" fontId="6" fillId="8" borderId="15" xfId="3" applyNumberFormat="1" applyFont="1" applyFill="1" applyBorder="1" applyAlignment="1">
      <alignment horizontal="center" vertical="center" wrapText="1"/>
    </xf>
    <xf numFmtId="42" fontId="7" fillId="8" borderId="17" xfId="3" applyNumberFormat="1" applyFont="1" applyFill="1" applyBorder="1" applyAlignment="1">
      <alignment horizontal="center" vertical="center" wrapText="1"/>
    </xf>
    <xf numFmtId="42" fontId="7" fillId="0" borderId="27" xfId="3" applyNumberFormat="1" applyFont="1" applyBorder="1" applyAlignment="1">
      <alignment horizontal="left" vertical="center" wrapText="1"/>
    </xf>
    <xf numFmtId="42" fontId="7" fillId="8" borderId="27" xfId="3" applyNumberFormat="1" applyFont="1" applyFill="1" applyBorder="1" applyAlignment="1">
      <alignment horizontal="left" vertical="center" wrapText="1"/>
    </xf>
    <xf numFmtId="42" fontId="7" fillId="8" borderId="28" xfId="3" applyNumberFormat="1" applyFont="1" applyFill="1" applyBorder="1" applyAlignment="1">
      <alignment horizontal="left" vertical="center" wrapText="1"/>
    </xf>
    <xf numFmtId="42" fontId="6" fillId="8" borderId="27" xfId="3" applyNumberFormat="1" applyFont="1" applyFill="1" applyBorder="1" applyAlignment="1">
      <alignment horizontal="center" vertical="center" wrapText="1"/>
    </xf>
    <xf numFmtId="42" fontId="7" fillId="8" borderId="28" xfId="3" applyNumberFormat="1" applyFont="1" applyFill="1" applyBorder="1" applyAlignment="1">
      <alignment horizontal="center" vertical="center" wrapText="1"/>
    </xf>
    <xf numFmtId="42" fontId="7" fillId="9" borderId="16" xfId="3" applyNumberFormat="1" applyFont="1" applyFill="1" applyBorder="1" applyAlignment="1">
      <alignment horizontal="right" vertical="center"/>
    </xf>
    <xf numFmtId="42" fontId="7" fillId="9" borderId="16" xfId="3" applyNumberFormat="1" applyFont="1" applyFill="1" applyBorder="1" applyAlignment="1">
      <alignment horizontal="left" vertical="center"/>
    </xf>
    <xf numFmtId="42" fontId="7" fillId="9" borderId="16" xfId="3" applyNumberFormat="1" applyFont="1" applyFill="1" applyBorder="1" applyAlignment="1">
      <alignment vertical="center"/>
    </xf>
    <xf numFmtId="42" fontId="7" fillId="0" borderId="16" xfId="3" applyNumberFormat="1" applyFont="1" applyBorder="1" applyAlignment="1">
      <alignment vertical="center"/>
    </xf>
    <xf numFmtId="42" fontId="8" fillId="0" borderId="19" xfId="4" applyNumberFormat="1" applyFont="1" applyBorder="1" applyAlignment="1">
      <alignment horizontal="left" vertical="center" wrapText="1"/>
    </xf>
    <xf numFmtId="42" fontId="8" fillId="8" borderId="19" xfId="4" applyNumberFormat="1" applyFont="1" applyFill="1" applyBorder="1" applyAlignment="1">
      <alignment horizontal="left" vertical="center" wrapText="1"/>
    </xf>
    <xf numFmtId="42" fontId="8" fillId="8" borderId="22" xfId="4" applyNumberFormat="1" applyFont="1" applyFill="1" applyBorder="1" applyAlignment="1">
      <alignment horizontal="left" vertical="center" wrapText="1"/>
    </xf>
    <xf numFmtId="42" fontId="6" fillId="8" borderId="29" xfId="4" applyNumberFormat="1" applyFont="1" applyFill="1" applyBorder="1" applyAlignment="1">
      <alignment horizontal="left" vertical="center" wrapText="1"/>
    </xf>
    <xf numFmtId="42" fontId="8" fillId="0" borderId="8" xfId="4" applyNumberFormat="1" applyFont="1" applyBorder="1" applyAlignment="1">
      <alignment horizontal="left" vertical="center" wrapText="1"/>
    </xf>
    <xf numFmtId="42" fontId="8" fillId="8" borderId="8" xfId="4" applyNumberFormat="1" applyFont="1" applyFill="1" applyBorder="1" applyAlignment="1">
      <alignment horizontal="left" vertical="center" wrapText="1"/>
    </xf>
    <xf numFmtId="42" fontId="8" fillId="8" borderId="0" xfId="4" applyNumberFormat="1" applyFont="1" applyFill="1" applyBorder="1" applyAlignment="1">
      <alignment horizontal="left" vertical="center" wrapText="1"/>
    </xf>
    <xf numFmtId="42" fontId="6" fillId="9" borderId="0" xfId="4" applyNumberFormat="1" applyFont="1" applyFill="1" applyBorder="1" applyAlignment="1">
      <alignment vertical="center"/>
    </xf>
    <xf numFmtId="42" fontId="6" fillId="0" borderId="0" xfId="4" applyNumberFormat="1" applyFont="1" applyBorder="1" applyAlignment="1">
      <alignment vertical="center"/>
    </xf>
    <xf numFmtId="42" fontId="8" fillId="0" borderId="18" xfId="2" applyNumberFormat="1" applyFont="1" applyBorder="1" applyAlignment="1">
      <alignment horizontal="left" vertical="center" wrapText="1"/>
    </xf>
    <xf numFmtId="42" fontId="8" fillId="8" borderId="18" xfId="2" applyNumberFormat="1" applyFont="1" applyFill="1" applyBorder="1" applyAlignment="1">
      <alignment horizontal="left" vertical="center" wrapText="1"/>
    </xf>
    <xf numFmtId="42" fontId="6" fillId="8" borderId="18" xfId="2" applyNumberFormat="1" applyFont="1" applyFill="1" applyBorder="1" applyAlignment="1">
      <alignment horizontal="center" vertical="center" wrapText="1"/>
    </xf>
    <xf numFmtId="42" fontId="7" fillId="8" borderId="18" xfId="2" applyNumberFormat="1" applyFont="1" applyFill="1" applyBorder="1" applyAlignment="1">
      <alignment horizontal="center" vertical="center" wrapText="1"/>
    </xf>
    <xf numFmtId="42" fontId="7" fillId="9" borderId="22" xfId="2" applyNumberFormat="1" applyFont="1" applyFill="1" applyBorder="1" applyAlignment="1">
      <alignment horizontal="left" vertical="center"/>
    </xf>
    <xf numFmtId="42" fontId="7" fillId="9" borderId="22" xfId="3" applyNumberFormat="1" applyFont="1" applyFill="1" applyBorder="1" applyAlignment="1">
      <alignment horizontal="right" vertical="center"/>
    </xf>
    <xf numFmtId="42" fontId="7" fillId="9" borderId="22" xfId="3" applyNumberFormat="1" applyFont="1" applyFill="1" applyBorder="1" applyAlignment="1">
      <alignment horizontal="left" vertical="center"/>
    </xf>
    <xf numFmtId="42" fontId="7" fillId="9" borderId="22" xfId="2" applyNumberFormat="1" applyFont="1" applyFill="1" applyBorder="1" applyAlignment="1">
      <alignment vertical="center"/>
    </xf>
    <xf numFmtId="42" fontId="7" fillId="0" borderId="23" xfId="2" applyNumberFormat="1" applyFont="1" applyBorder="1" applyAlignment="1">
      <alignment horizontal="left" vertical="center" wrapText="1"/>
    </xf>
    <xf numFmtId="42" fontId="7" fillId="8" borderId="23" xfId="2" applyNumberFormat="1" applyFont="1" applyFill="1" applyBorder="1" applyAlignment="1">
      <alignment horizontal="left" vertical="center" wrapText="1"/>
    </xf>
    <xf numFmtId="42" fontId="8" fillId="8" borderId="23" xfId="2" applyNumberFormat="1" applyFont="1" applyFill="1" applyBorder="1" applyAlignment="1">
      <alignment horizontal="left" vertical="center" wrapText="1"/>
    </xf>
    <xf numFmtId="42" fontId="6" fillId="8" borderId="23" xfId="2" applyNumberFormat="1" applyFont="1" applyFill="1" applyBorder="1" applyAlignment="1">
      <alignment horizontal="center" vertical="center" wrapText="1"/>
    </xf>
    <xf numFmtId="42" fontId="7" fillId="8" borderId="23" xfId="2" applyNumberFormat="1" applyFont="1" applyFill="1" applyBorder="1" applyAlignment="1">
      <alignment horizontal="center" vertical="center" wrapText="1"/>
    </xf>
    <xf numFmtId="42" fontId="7" fillId="9" borderId="0" xfId="2" applyNumberFormat="1" applyFont="1" applyFill="1" applyAlignment="1">
      <alignment horizontal="left" vertical="center"/>
    </xf>
    <xf numFmtId="42" fontId="7" fillId="9" borderId="0" xfId="3" applyNumberFormat="1" applyFont="1" applyFill="1" applyAlignment="1">
      <alignment horizontal="right" vertical="center"/>
    </xf>
    <xf numFmtId="42" fontId="7" fillId="9" borderId="0" xfId="3" applyNumberFormat="1" applyFont="1" applyFill="1" applyAlignment="1">
      <alignment horizontal="left" vertical="center"/>
    </xf>
    <xf numFmtId="42" fontId="7" fillId="9" borderId="0" xfId="2" applyNumberFormat="1" applyFont="1" applyFill="1" applyAlignment="1">
      <alignment vertical="center"/>
    </xf>
    <xf numFmtId="42" fontId="7" fillId="0" borderId="0" xfId="2" applyNumberFormat="1" applyFont="1" applyAlignment="1">
      <alignment vertical="center"/>
    </xf>
    <xf numFmtId="42" fontId="7" fillId="0" borderId="2" xfId="2" applyNumberFormat="1" applyFont="1" applyBorder="1" applyAlignment="1">
      <alignment horizontal="left" vertical="center" wrapText="1"/>
    </xf>
    <xf numFmtId="42" fontId="8" fillId="8" borderId="2" xfId="2" applyNumberFormat="1" applyFont="1" applyFill="1" applyBorder="1" applyAlignment="1">
      <alignment horizontal="left" vertical="center" wrapText="1"/>
    </xf>
    <xf numFmtId="42" fontId="13" fillId="8" borderId="18" xfId="2" applyNumberFormat="1" applyFont="1" applyFill="1" applyBorder="1"/>
    <xf numFmtId="42" fontId="5" fillId="8" borderId="18" xfId="2" applyNumberFormat="1" applyFill="1" applyBorder="1"/>
    <xf numFmtId="0" fontId="5" fillId="0" borderId="0" xfId="2"/>
    <xf numFmtId="0" fontId="5" fillId="8" borderId="0" xfId="2" applyFill="1"/>
    <xf numFmtId="6" fontId="5" fillId="8" borderId="0" xfId="2" applyNumberFormat="1" applyFill="1"/>
    <xf numFmtId="42" fontId="7" fillId="8" borderId="0" xfId="2" applyNumberFormat="1" applyFont="1" applyFill="1" applyAlignment="1">
      <alignment horizontal="left" vertical="center" wrapText="1"/>
    </xf>
    <xf numFmtId="42" fontId="6" fillId="8" borderId="0" xfId="2" applyNumberFormat="1" applyFont="1" applyFill="1" applyAlignment="1">
      <alignment horizontal="center" vertical="center" wrapText="1"/>
    </xf>
    <xf numFmtId="42" fontId="7" fillId="8" borderId="0" xfId="2" applyNumberFormat="1" applyFont="1" applyFill="1" applyAlignment="1">
      <alignment horizontal="center" vertical="center" wrapText="1"/>
    </xf>
    <xf numFmtId="42" fontId="8" fillId="0" borderId="0" xfId="2" applyNumberFormat="1" applyFont="1" applyAlignment="1">
      <alignment horizontal="left" vertical="center" wrapText="1"/>
    </xf>
    <xf numFmtId="42" fontId="7" fillId="0" borderId="0" xfId="2" applyNumberFormat="1" applyFont="1" applyAlignment="1">
      <alignment horizontal="left" vertical="center" wrapText="1"/>
    </xf>
    <xf numFmtId="42" fontId="11" fillId="0" borderId="0" xfId="2" applyNumberFormat="1" applyFont="1" applyAlignment="1">
      <alignment horizontal="left" vertical="center" wrapText="1"/>
    </xf>
    <xf numFmtId="42" fontId="0" fillId="0" borderId="0" xfId="0" applyNumberFormat="1"/>
    <xf numFmtId="0" fontId="1" fillId="10" borderId="0" xfId="0" applyFont="1" applyFill="1" applyAlignment="1">
      <alignment horizontal="center" wrapText="1"/>
    </xf>
    <xf numFmtId="0" fontId="0" fillId="0" borderId="0" xfId="0" applyAlignment="1">
      <alignment horizontal="right" wrapText="1"/>
    </xf>
    <xf numFmtId="42" fontId="0" fillId="0" borderId="3" xfId="0" applyNumberFormat="1" applyBorder="1"/>
    <xf numFmtId="0" fontId="1" fillId="10" borderId="0" xfId="0" applyFont="1" applyFill="1" applyAlignment="1">
      <alignment horizontal="center" vertical="center"/>
    </xf>
    <xf numFmtId="0" fontId="0" fillId="11" borderId="0" xfId="0" applyFill="1"/>
    <xf numFmtId="0" fontId="1" fillId="2" borderId="0" xfId="0" applyFont="1" applyFill="1"/>
    <xf numFmtId="49" fontId="0" fillId="0" borderId="0" xfId="0" applyNumberFormat="1" applyAlignment="1">
      <alignment vertical="center" wrapText="1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5">
    <cellStyle name="Comma 2" xfId="3" xr:uid="{2F1A7B6C-34AE-3449-A075-06FA657E72A6}"/>
    <cellStyle name="Currency" xfId="1" builtinId="4"/>
    <cellStyle name="Currency 2" xfId="4" xr:uid="{FE13600C-BCEA-AE41-A5BC-0D3FF367BF35}"/>
    <cellStyle name="Normal" xfId="0" builtinId="0"/>
    <cellStyle name="Normal 2" xfId="2" xr:uid="{E3BAB4EF-6D2A-4A4D-AB42-B4E6CFE2D68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FB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Boat Population</a:t>
            </a:r>
            <a:r>
              <a:rPr lang="en-US" baseline="0"/>
              <a:t> by Length (2024)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'Boat Lengths'!$A$3:$A$20</c:f>
              <c:numCache>
                <c:formatCode>0</c:formatCode>
                <c:ptCount val="18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12</c:v>
                </c:pt>
              </c:numCache>
            </c:numRef>
          </c:cat>
          <c:val>
            <c:numRef>
              <c:f>'Boat Lengths'!$B$3:$B$20</c:f>
              <c:numCache>
                <c:formatCode>0</c:formatCode>
                <c:ptCount val="18"/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9-AF45-8A14-44363871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5732960"/>
        <c:axId val="1545734672"/>
      </c:barChart>
      <c:catAx>
        <c:axId val="1545732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734672"/>
        <c:crosses val="autoZero"/>
        <c:auto val="1"/>
        <c:lblAlgn val="ctr"/>
        <c:lblOffset val="100"/>
        <c:noMultiLvlLbl val="0"/>
      </c:catAx>
      <c:valAx>
        <c:axId val="154573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73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272143</xdr:colOff>
      <xdr:row>11</xdr:row>
      <xdr:rowOff>120650</xdr:rowOff>
    </xdr:from>
    <xdr:to>
      <xdr:col>13</xdr:col>
      <xdr:colOff>589643</xdr:colOff>
      <xdr:row>25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3939F0-B06B-D9D5-6690-B36B18324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8ACAB-E2A3-B843-A4F8-C7B3C7D5C37C}">
  <dimension ref="A1:J60"/>
  <sheetViews>
    <sheetView tabSelected="1" zoomScale="120" zoomScaleNormal="120" workbookViewId="0"/>
  </sheetViews>
  <sheetFormatPr baseColWidth="10" defaultRowHeight="16" x14ac:dyDescent="0.2"/>
  <cols>
    <col min="1" max="1" width="28.5" bestFit="1" customWidth="1"/>
    <col min="2" max="2" width="10" bestFit="1" customWidth="1"/>
    <col min="3" max="3" width="5.1640625" bestFit="1" customWidth="1"/>
    <col min="4" max="4" width="10" bestFit="1" customWidth="1"/>
    <col min="5" max="5" width="6.1640625" bestFit="1" customWidth="1"/>
    <col min="6" max="6" width="10" bestFit="1" customWidth="1"/>
    <col min="7" max="7" width="5.1640625" bestFit="1" customWidth="1"/>
    <col min="8" max="8" width="10.5" bestFit="1" customWidth="1"/>
    <col min="9" max="9" width="15.5" style="2" bestFit="1" customWidth="1"/>
    <col min="10" max="10" width="5.1640625" bestFit="1" customWidth="1"/>
    <col min="11" max="11" width="1.6640625" customWidth="1"/>
  </cols>
  <sheetData>
    <row r="1" spans="1:10" ht="32" customHeight="1" x14ac:dyDescent="0.2">
      <c r="A1" s="13" t="s">
        <v>25</v>
      </c>
      <c r="B1" s="306" t="s">
        <v>229</v>
      </c>
      <c r="C1" s="307"/>
      <c r="D1" s="307"/>
      <c r="E1" s="307"/>
      <c r="F1" s="307"/>
      <c r="G1" s="307"/>
      <c r="H1" s="37" t="s">
        <v>82</v>
      </c>
    </row>
    <row r="2" spans="1:10" ht="51" x14ac:dyDescent="0.2">
      <c r="A2" s="16" t="s">
        <v>27</v>
      </c>
      <c r="B2" s="312" t="s">
        <v>24</v>
      </c>
      <c r="C2" s="312"/>
      <c r="D2" s="312" t="s">
        <v>23</v>
      </c>
      <c r="E2" s="312"/>
      <c r="F2" s="312" t="s">
        <v>22</v>
      </c>
      <c r="G2" s="313"/>
      <c r="H2" s="8" t="s">
        <v>21</v>
      </c>
    </row>
    <row r="3" spans="1:10" x14ac:dyDescent="0.2">
      <c r="A3" s="8" t="s">
        <v>20</v>
      </c>
      <c r="B3" s="11" t="s">
        <v>18</v>
      </c>
      <c r="C3" s="11" t="s">
        <v>19</v>
      </c>
      <c r="D3" s="11" t="s">
        <v>18</v>
      </c>
      <c r="E3" s="11" t="s">
        <v>19</v>
      </c>
      <c r="F3" s="11" t="s">
        <v>18</v>
      </c>
      <c r="G3" s="30" t="s">
        <v>19</v>
      </c>
      <c r="H3" s="32"/>
    </row>
    <row r="4" spans="1:10" x14ac:dyDescent="0.2">
      <c r="A4" s="8">
        <v>1</v>
      </c>
      <c r="B4" s="10">
        <v>20</v>
      </c>
      <c r="C4" s="10">
        <v>20</v>
      </c>
      <c r="D4" s="10">
        <v>25</v>
      </c>
      <c r="E4" s="10">
        <v>25</v>
      </c>
      <c r="F4" s="10">
        <v>30</v>
      </c>
      <c r="G4" s="31">
        <v>30</v>
      </c>
      <c r="H4" s="33"/>
    </row>
    <row r="5" spans="1:10" x14ac:dyDescent="0.2">
      <c r="A5" s="8">
        <v>2</v>
      </c>
      <c r="B5" s="10">
        <v>20</v>
      </c>
      <c r="C5" s="10">
        <v>20</v>
      </c>
      <c r="D5" s="10">
        <v>25</v>
      </c>
      <c r="E5" s="10">
        <v>25</v>
      </c>
      <c r="F5" s="10">
        <v>30</v>
      </c>
      <c r="G5" s="31">
        <v>30</v>
      </c>
      <c r="H5" s="33"/>
    </row>
    <row r="6" spans="1:10" x14ac:dyDescent="0.2">
      <c r="A6" s="8">
        <v>3</v>
      </c>
      <c r="B6" s="10">
        <v>20</v>
      </c>
      <c r="C6" s="10">
        <v>20</v>
      </c>
      <c r="D6" s="10">
        <v>25</v>
      </c>
      <c r="E6" s="10">
        <v>25</v>
      </c>
      <c r="F6" s="10">
        <v>30</v>
      </c>
      <c r="G6" s="31">
        <v>30</v>
      </c>
      <c r="H6" s="33"/>
    </row>
    <row r="7" spans="1:10" x14ac:dyDescent="0.2">
      <c r="A7" s="8">
        <v>4</v>
      </c>
      <c r="B7" s="10">
        <v>20</v>
      </c>
      <c r="C7" s="10">
        <v>20</v>
      </c>
      <c r="D7" s="10">
        <v>25</v>
      </c>
      <c r="E7" s="10">
        <v>25</v>
      </c>
      <c r="F7" s="10">
        <v>30</v>
      </c>
      <c r="G7" s="31">
        <v>30</v>
      </c>
      <c r="H7" s="33"/>
    </row>
    <row r="8" spans="1:10" x14ac:dyDescent="0.2">
      <c r="A8" s="8">
        <v>5</v>
      </c>
      <c r="B8" s="11"/>
      <c r="C8" s="11"/>
      <c r="D8" s="10">
        <v>25</v>
      </c>
      <c r="E8" s="10">
        <v>25</v>
      </c>
      <c r="F8" s="10">
        <v>30</v>
      </c>
      <c r="G8" s="31">
        <v>30</v>
      </c>
      <c r="H8" s="33"/>
    </row>
    <row r="9" spans="1:10" x14ac:dyDescent="0.2">
      <c r="A9" s="9"/>
      <c r="B9" s="1"/>
      <c r="C9" s="1"/>
      <c r="D9" s="1"/>
      <c r="E9" s="1"/>
      <c r="F9" s="1"/>
      <c r="G9" s="1"/>
    </row>
    <row r="10" spans="1:10" x14ac:dyDescent="0.2">
      <c r="A10" t="s">
        <v>17</v>
      </c>
      <c r="B10" s="309">
        <v>2.5</v>
      </c>
      <c r="C10" s="310"/>
      <c r="D10" s="310"/>
      <c r="E10" s="310"/>
      <c r="F10" s="310"/>
      <c r="G10" s="311"/>
    </row>
    <row r="11" spans="1:10" x14ac:dyDescent="0.2">
      <c r="A11" t="s">
        <v>16</v>
      </c>
      <c r="B11">
        <f t="shared" ref="B11:G11" si="0">SUM(B4:B8)</f>
        <v>80</v>
      </c>
      <c r="C11">
        <f t="shared" si="0"/>
        <v>80</v>
      </c>
      <c r="D11">
        <f t="shared" si="0"/>
        <v>125</v>
      </c>
      <c r="E11">
        <f t="shared" si="0"/>
        <v>125</v>
      </c>
      <c r="F11">
        <f t="shared" si="0"/>
        <v>150</v>
      </c>
      <c r="G11">
        <f t="shared" si="0"/>
        <v>150</v>
      </c>
    </row>
    <row r="12" spans="1:10" x14ac:dyDescent="0.2">
      <c r="A12" t="s">
        <v>9</v>
      </c>
      <c r="B12">
        <f t="shared" ref="B12:G12" si="1">$B$10*B11</f>
        <v>200</v>
      </c>
      <c r="C12">
        <f t="shared" si="1"/>
        <v>200</v>
      </c>
      <c r="D12">
        <f t="shared" si="1"/>
        <v>312.5</v>
      </c>
      <c r="E12">
        <f t="shared" si="1"/>
        <v>312.5</v>
      </c>
      <c r="F12">
        <f t="shared" si="1"/>
        <v>375</v>
      </c>
      <c r="G12">
        <f t="shared" si="1"/>
        <v>375</v>
      </c>
      <c r="I12" s="3" t="s">
        <v>5</v>
      </c>
      <c r="J12">
        <f>SUM(B12:H12)</f>
        <v>1775</v>
      </c>
    </row>
    <row r="13" spans="1:10" x14ac:dyDescent="0.2">
      <c r="I13" s="3"/>
    </row>
    <row r="14" spans="1:10" x14ac:dyDescent="0.2">
      <c r="A14" t="s">
        <v>15</v>
      </c>
      <c r="B14" s="309">
        <v>5</v>
      </c>
      <c r="C14" s="310"/>
      <c r="D14" s="310"/>
      <c r="E14" s="310"/>
      <c r="F14" s="310"/>
      <c r="G14" s="311"/>
      <c r="H14">
        <v>10</v>
      </c>
      <c r="I14" s="3"/>
    </row>
    <row r="15" spans="1:10" x14ac:dyDescent="0.2">
      <c r="A15" t="s">
        <v>14</v>
      </c>
      <c r="B15" s="308">
        <v>100</v>
      </c>
      <c r="C15" s="308"/>
      <c r="D15" s="308">
        <v>130</v>
      </c>
      <c r="E15" s="308"/>
      <c r="F15" s="308">
        <v>130</v>
      </c>
      <c r="G15" s="308"/>
      <c r="H15" s="14">
        <v>69</v>
      </c>
      <c r="I15" s="3"/>
    </row>
    <row r="16" spans="1:10" x14ac:dyDescent="0.2">
      <c r="A16" t="s">
        <v>9</v>
      </c>
      <c r="B16" s="308">
        <f>$B$14*B15</f>
        <v>500</v>
      </c>
      <c r="C16" s="308"/>
      <c r="D16" s="308">
        <f>$B$14*D15</f>
        <v>650</v>
      </c>
      <c r="E16" s="308"/>
      <c r="F16" s="308">
        <f>$B$14*F15</f>
        <v>650</v>
      </c>
      <c r="G16" s="308"/>
      <c r="H16">
        <f>H14*H15</f>
        <v>690</v>
      </c>
      <c r="I16" s="3" t="s">
        <v>5</v>
      </c>
      <c r="J16">
        <f>SUM(B16:H16)</f>
        <v>2490</v>
      </c>
    </row>
    <row r="17" spans="1:10" x14ac:dyDescent="0.2">
      <c r="G17" s="3"/>
      <c r="I17" s="3"/>
    </row>
    <row r="18" spans="1:10" x14ac:dyDescent="0.2">
      <c r="A18" t="s">
        <v>13</v>
      </c>
      <c r="B18" s="1">
        <v>4</v>
      </c>
      <c r="I18" s="3"/>
    </row>
    <row r="19" spans="1:10" x14ac:dyDescent="0.2">
      <c r="A19" t="s">
        <v>12</v>
      </c>
      <c r="B19" s="308">
        <v>24</v>
      </c>
      <c r="C19" s="308"/>
      <c r="D19" s="308">
        <v>24</v>
      </c>
      <c r="E19" s="308"/>
      <c r="F19" s="308">
        <v>24</v>
      </c>
      <c r="G19" s="308"/>
      <c r="I19" s="3"/>
    </row>
    <row r="20" spans="1:10" x14ac:dyDescent="0.2">
      <c r="A20" t="s">
        <v>11</v>
      </c>
      <c r="B20" s="308">
        <v>2</v>
      </c>
      <c r="C20" s="308"/>
      <c r="D20" s="308">
        <v>2</v>
      </c>
      <c r="E20" s="308"/>
      <c r="F20" s="308">
        <v>2</v>
      </c>
      <c r="G20" s="308"/>
      <c r="I20" s="3"/>
    </row>
    <row r="21" spans="1:10" x14ac:dyDescent="0.2">
      <c r="A21" t="s">
        <v>10</v>
      </c>
      <c r="B21" s="308">
        <v>2</v>
      </c>
      <c r="C21" s="308"/>
      <c r="D21" s="308">
        <v>2</v>
      </c>
      <c r="E21" s="308"/>
      <c r="F21" s="308">
        <v>2</v>
      </c>
      <c r="G21" s="308"/>
      <c r="I21" s="3"/>
    </row>
    <row r="22" spans="1:10" x14ac:dyDescent="0.2">
      <c r="A22" t="s">
        <v>9</v>
      </c>
      <c r="B22" s="308">
        <f>$B$18*(B19-(B20+B21))</f>
        <v>80</v>
      </c>
      <c r="C22" s="308"/>
      <c r="D22" s="308">
        <f>$B$18*(D19-(D20+D21))</f>
        <v>80</v>
      </c>
      <c r="E22" s="308"/>
      <c r="F22" s="308">
        <f>$B$18*(F19-(F20+F21))</f>
        <v>80</v>
      </c>
      <c r="G22" s="308"/>
      <c r="I22" s="3" t="s">
        <v>5</v>
      </c>
      <c r="J22" s="15">
        <f>SUM(B22:H22)</f>
        <v>240</v>
      </c>
    </row>
    <row r="23" spans="1:10" x14ac:dyDescent="0.2">
      <c r="G23" s="3"/>
      <c r="I23" s="3"/>
    </row>
    <row r="24" spans="1:10" x14ac:dyDescent="0.2">
      <c r="A24" t="s">
        <v>8</v>
      </c>
      <c r="B24">
        <v>7</v>
      </c>
      <c r="C24">
        <v>7</v>
      </c>
      <c r="D24">
        <v>9</v>
      </c>
      <c r="E24">
        <v>9</v>
      </c>
      <c r="F24">
        <v>9</v>
      </c>
      <c r="G24">
        <v>9</v>
      </c>
      <c r="I24" s="3"/>
    </row>
    <row r="25" spans="1:10" x14ac:dyDescent="0.2">
      <c r="A25" t="s">
        <v>7</v>
      </c>
      <c r="B25">
        <v>4.5</v>
      </c>
      <c r="C25">
        <v>4.5</v>
      </c>
      <c r="D25">
        <v>4.5</v>
      </c>
      <c r="E25">
        <v>4.5</v>
      </c>
      <c r="F25">
        <v>4.5</v>
      </c>
      <c r="G25">
        <v>4.5</v>
      </c>
      <c r="I25" s="3"/>
    </row>
    <row r="26" spans="1:10" x14ac:dyDescent="0.2">
      <c r="B26">
        <f t="shared" ref="B26:G26" si="2">B24*B25</f>
        <v>31.5</v>
      </c>
      <c r="C26">
        <f t="shared" si="2"/>
        <v>31.5</v>
      </c>
      <c r="D26">
        <f t="shared" si="2"/>
        <v>40.5</v>
      </c>
      <c r="E26">
        <f t="shared" si="2"/>
        <v>40.5</v>
      </c>
      <c r="F26">
        <f t="shared" si="2"/>
        <v>40.5</v>
      </c>
      <c r="G26">
        <f t="shared" si="2"/>
        <v>40.5</v>
      </c>
      <c r="I26" s="3" t="s">
        <v>5</v>
      </c>
      <c r="J26">
        <f>SUM(B26:H26)</f>
        <v>225</v>
      </c>
    </row>
    <row r="27" spans="1:10" x14ac:dyDescent="0.2">
      <c r="G27" s="3"/>
      <c r="I27" s="3"/>
    </row>
    <row r="28" spans="1:10" x14ac:dyDescent="0.2">
      <c r="A28" t="s">
        <v>6</v>
      </c>
      <c r="I28" s="3"/>
      <c r="J28" s="15">
        <v>100</v>
      </c>
    </row>
    <row r="29" spans="1:10" x14ac:dyDescent="0.2">
      <c r="I29" s="3"/>
    </row>
    <row r="30" spans="1:10" x14ac:dyDescent="0.2">
      <c r="A30" s="4" t="s">
        <v>83</v>
      </c>
      <c r="I30" s="3"/>
    </row>
    <row r="31" spans="1:10" ht="17" x14ac:dyDescent="0.2">
      <c r="A31" s="6" t="s">
        <v>43</v>
      </c>
      <c r="H31">
        <v>10</v>
      </c>
      <c r="I31" s="3"/>
    </row>
    <row r="32" spans="1:10" ht="17" x14ac:dyDescent="0.2">
      <c r="A32" s="6" t="s">
        <v>44</v>
      </c>
      <c r="H32" s="14">
        <v>35</v>
      </c>
      <c r="I32" s="3" t="s">
        <v>5</v>
      </c>
      <c r="J32">
        <f>H31*H32</f>
        <v>350</v>
      </c>
    </row>
    <row r="33" spans="1:10" x14ac:dyDescent="0.2">
      <c r="I33" s="3"/>
    </row>
    <row r="34" spans="1:10" ht="34" x14ac:dyDescent="0.2">
      <c r="A34" s="6" t="s">
        <v>26</v>
      </c>
      <c r="B34" s="15">
        <f>B12+C12+B16+B26+C26</f>
        <v>963</v>
      </c>
      <c r="D34" s="15">
        <f>D12+E12+D16+D26+E26</f>
        <v>1356</v>
      </c>
      <c r="F34" s="15">
        <f>F12+G12+F16+F26+G26</f>
        <v>1481</v>
      </c>
      <c r="H34" s="15">
        <f>H16+J32</f>
        <v>1040</v>
      </c>
    </row>
    <row r="35" spans="1:10" x14ac:dyDescent="0.2">
      <c r="I35" s="3"/>
    </row>
    <row r="36" spans="1:10" x14ac:dyDescent="0.2">
      <c r="I36" s="3" t="s">
        <v>4</v>
      </c>
      <c r="J36">
        <f>SUM(J12:J32)</f>
        <v>5180</v>
      </c>
    </row>
    <row r="37" spans="1:10" x14ac:dyDescent="0.2">
      <c r="I37" s="3"/>
    </row>
    <row r="38" spans="1:10" x14ac:dyDescent="0.2">
      <c r="A38" s="4" t="s">
        <v>3</v>
      </c>
      <c r="I38" s="3"/>
    </row>
    <row r="39" spans="1:10" x14ac:dyDescent="0.2">
      <c r="A39" t="s">
        <v>2</v>
      </c>
      <c r="B39">
        <v>741</v>
      </c>
    </row>
    <row r="40" spans="1:10" ht="34" x14ac:dyDescent="0.2">
      <c r="A40" s="6" t="s">
        <v>28</v>
      </c>
      <c r="B40">
        <v>7</v>
      </c>
      <c r="I40" s="3" t="s">
        <v>1</v>
      </c>
      <c r="J40" s="12">
        <f>B39*B40</f>
        <v>5187</v>
      </c>
    </row>
    <row r="41" spans="1:10" x14ac:dyDescent="0.2">
      <c r="I41" s="3" t="s">
        <v>0</v>
      </c>
      <c r="J41">
        <f>J40-J36</f>
        <v>7</v>
      </c>
    </row>
    <row r="42" spans="1:10" x14ac:dyDescent="0.2">
      <c r="I42" s="3"/>
    </row>
    <row r="43" spans="1:10" x14ac:dyDescent="0.2">
      <c r="A43" t="s">
        <v>35</v>
      </c>
      <c r="B43" s="18">
        <f>B34*'Component Costs'!$B$2</f>
        <v>81855</v>
      </c>
      <c r="C43" s="18"/>
      <c r="D43" s="18">
        <f>D34*'Component Costs'!$B$2</f>
        <v>115260</v>
      </c>
      <c r="E43" s="18"/>
      <c r="F43" s="18">
        <f>F34*'Component Costs'!$B$2</f>
        <v>125885</v>
      </c>
      <c r="G43" s="18"/>
      <c r="H43" s="18">
        <f>H34*'Component Costs'!B3</f>
        <v>78000</v>
      </c>
    </row>
    <row r="44" spans="1:10" x14ac:dyDescent="0.2">
      <c r="A44" t="s">
        <v>36</v>
      </c>
      <c r="B44" s="18">
        <f>'Component Costs'!$B$4</f>
        <v>10000</v>
      </c>
      <c r="C44" s="18"/>
      <c r="D44" s="18">
        <f>'Component Costs'!$B$4</f>
        <v>10000</v>
      </c>
      <c r="E44" s="18"/>
      <c r="F44" s="18">
        <f>'Component Costs'!$B$4</f>
        <v>10000</v>
      </c>
      <c r="G44" s="18"/>
      <c r="H44" s="18">
        <f>'Component Costs'!$B$4</f>
        <v>10000</v>
      </c>
    </row>
    <row r="45" spans="1:10" x14ac:dyDescent="0.2">
      <c r="A45" t="s">
        <v>38</v>
      </c>
      <c r="B45" s="18">
        <f>'Component Costs'!$B$5</f>
        <v>3000</v>
      </c>
      <c r="C45" s="18"/>
      <c r="D45" s="18">
        <f>'Component Costs'!$B$5</f>
        <v>3000</v>
      </c>
      <c r="E45" s="18"/>
      <c r="F45" s="18">
        <f>'Component Costs'!$B$5</f>
        <v>3000</v>
      </c>
      <c r="G45" s="18"/>
      <c r="H45" s="18">
        <f>'Component Costs'!$B$5</f>
        <v>3000</v>
      </c>
    </row>
    <row r="46" spans="1:10" x14ac:dyDescent="0.2">
      <c r="A46" t="s">
        <v>37</v>
      </c>
      <c r="B46" s="18">
        <f>8*'Component Costs'!$B$7</f>
        <v>12000</v>
      </c>
      <c r="C46" s="18"/>
      <c r="D46" s="18">
        <f>10*'Component Costs'!$B$7</f>
        <v>15000</v>
      </c>
      <c r="E46" s="18"/>
      <c r="F46" s="18">
        <f>10*'Component Costs'!$B$7</f>
        <v>15000</v>
      </c>
      <c r="G46" s="18"/>
      <c r="H46" s="18">
        <f>((H15+H32)/10)*2*'Component Costs'!B7</f>
        <v>31200</v>
      </c>
    </row>
    <row r="47" spans="1:10" x14ac:dyDescent="0.2">
      <c r="A47" t="s">
        <v>54</v>
      </c>
      <c r="B47" s="18"/>
      <c r="C47" s="18"/>
      <c r="D47" s="18"/>
      <c r="E47" s="18"/>
      <c r="F47" s="18"/>
      <c r="G47" s="18"/>
      <c r="H47" s="18"/>
    </row>
    <row r="48" spans="1:10" x14ac:dyDescent="0.2">
      <c r="A48" t="s">
        <v>61</v>
      </c>
      <c r="B48" s="18">
        <f>'Component Costs'!$B$6</f>
        <v>4000</v>
      </c>
      <c r="C48" s="18"/>
      <c r="D48" s="18">
        <f>'Component Costs'!$B$6</f>
        <v>4000</v>
      </c>
      <c r="E48" s="18"/>
      <c r="F48" s="18">
        <f>'Component Costs'!$B$6</f>
        <v>4000</v>
      </c>
      <c r="G48" s="18"/>
      <c r="H48" s="18"/>
    </row>
    <row r="49" spans="1:8" x14ac:dyDescent="0.2">
      <c r="B49" s="18"/>
      <c r="C49" s="18"/>
      <c r="D49" s="18"/>
      <c r="E49" s="18"/>
      <c r="F49" s="18"/>
      <c r="G49" s="18"/>
      <c r="H49" s="18"/>
    </row>
    <row r="50" spans="1:8" x14ac:dyDescent="0.2">
      <c r="B50" s="18"/>
      <c r="C50" s="18"/>
      <c r="D50" s="18"/>
      <c r="E50" s="18"/>
      <c r="F50" s="18"/>
      <c r="G50" s="18"/>
      <c r="H50" s="18"/>
    </row>
    <row r="51" spans="1:8" x14ac:dyDescent="0.2">
      <c r="B51" s="18"/>
      <c r="C51" s="18"/>
      <c r="D51" s="18"/>
      <c r="E51" s="18"/>
      <c r="F51" s="18"/>
      <c r="G51" s="18"/>
      <c r="H51" s="18"/>
    </row>
    <row r="52" spans="1:8" x14ac:dyDescent="0.2">
      <c r="B52" s="18">
        <f>SUM(B43:B50)</f>
        <v>110855</v>
      </c>
      <c r="C52" s="18"/>
      <c r="D52" s="18">
        <f>SUM(D43:D50)</f>
        <v>147260</v>
      </c>
      <c r="E52" s="18"/>
      <c r="F52" s="18">
        <f>SUM(F43:F50)</f>
        <v>157885</v>
      </c>
      <c r="G52" s="18"/>
      <c r="H52" s="18">
        <f>SUM(H43:H51)</f>
        <v>122200</v>
      </c>
    </row>
    <row r="53" spans="1:8" x14ac:dyDescent="0.2">
      <c r="B53" s="18"/>
      <c r="C53" s="18"/>
      <c r="D53" s="18"/>
      <c r="E53" s="18"/>
      <c r="F53" s="18"/>
      <c r="G53" s="18"/>
      <c r="H53" s="18"/>
    </row>
    <row r="54" spans="1:8" x14ac:dyDescent="0.2">
      <c r="A54" t="s">
        <v>39</v>
      </c>
      <c r="B54" s="18"/>
      <c r="C54" s="18"/>
      <c r="D54" s="18"/>
      <c r="E54" s="18"/>
      <c r="F54" s="18"/>
      <c r="G54" s="18"/>
      <c r="H54" s="18">
        <f>SUM(B52:H52)</f>
        <v>538200</v>
      </c>
    </row>
    <row r="55" spans="1:8" x14ac:dyDescent="0.2">
      <c r="A55" t="s">
        <v>40</v>
      </c>
      <c r="B55" s="18"/>
      <c r="C55" s="18"/>
      <c r="D55" s="18"/>
      <c r="E55" s="18"/>
      <c r="F55" s="18"/>
      <c r="G55" s="18"/>
      <c r="H55" s="18">
        <f>'Component Costs'!$B$8*0.01*H54</f>
        <v>43056</v>
      </c>
    </row>
    <row r="56" spans="1:8" x14ac:dyDescent="0.2">
      <c r="A56" t="s">
        <v>41</v>
      </c>
      <c r="B56" s="18"/>
      <c r="C56" s="18"/>
      <c r="D56" s="18"/>
      <c r="E56" s="18"/>
      <c r="F56" s="18"/>
      <c r="G56" s="18"/>
      <c r="H56" s="18">
        <f>'Component Costs'!B9</f>
        <v>20000</v>
      </c>
    </row>
    <row r="57" spans="1:8" x14ac:dyDescent="0.2">
      <c r="B57" s="18"/>
      <c r="C57" s="18"/>
      <c r="D57" s="18"/>
      <c r="E57" s="18"/>
      <c r="F57" s="18"/>
      <c r="G57" s="18"/>
      <c r="H57" s="18"/>
    </row>
    <row r="58" spans="1:8" x14ac:dyDescent="0.2">
      <c r="A58" t="s">
        <v>42</v>
      </c>
      <c r="B58" s="18"/>
      <c r="C58" s="18"/>
      <c r="D58" s="18"/>
      <c r="E58" s="18"/>
      <c r="F58" s="18"/>
      <c r="G58" s="18"/>
      <c r="H58" s="18">
        <f>SUM(H54:H57)</f>
        <v>601256</v>
      </c>
    </row>
    <row r="60" spans="1:8" x14ac:dyDescent="0.2">
      <c r="H60" s="17"/>
    </row>
  </sheetData>
  <mergeCells count="24">
    <mergeCell ref="F19:G19"/>
    <mergeCell ref="B2:C2"/>
    <mergeCell ref="D2:E2"/>
    <mergeCell ref="F2:G2"/>
    <mergeCell ref="B15:C15"/>
    <mergeCell ref="D15:E15"/>
    <mergeCell ref="F15:G15"/>
    <mergeCell ref="D19:E19"/>
    <mergeCell ref="B1:G1"/>
    <mergeCell ref="B22:C22"/>
    <mergeCell ref="D22:E22"/>
    <mergeCell ref="F22:G22"/>
    <mergeCell ref="B14:G14"/>
    <mergeCell ref="B10:G10"/>
    <mergeCell ref="B20:C20"/>
    <mergeCell ref="D20:E20"/>
    <mergeCell ref="F20:G20"/>
    <mergeCell ref="B21:C21"/>
    <mergeCell ref="D21:E21"/>
    <mergeCell ref="F21:G21"/>
    <mergeCell ref="B16:C16"/>
    <mergeCell ref="D16:E16"/>
    <mergeCell ref="F16:G16"/>
    <mergeCell ref="B19:C19"/>
  </mergeCells>
  <conditionalFormatting sqref="K40 J41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51DB-B195-4945-B484-87A939C7A220}">
  <dimension ref="A1:J28"/>
  <sheetViews>
    <sheetView zoomScale="130" zoomScaleNormal="130" workbookViewId="0"/>
  </sheetViews>
  <sheetFormatPr baseColWidth="10" defaultRowHeight="16" x14ac:dyDescent="0.2"/>
  <cols>
    <col min="1" max="1" width="21.5" customWidth="1"/>
    <col min="2" max="2" width="15.6640625" style="301" bestFit="1" customWidth="1"/>
    <col min="3" max="4" width="7" style="22" bestFit="1" customWidth="1"/>
    <col min="5" max="5" width="7.1640625" style="22" bestFit="1" customWidth="1"/>
    <col min="6" max="6" width="1.5" style="22" customWidth="1"/>
    <col min="7" max="7" width="15.83203125" style="22" bestFit="1" customWidth="1"/>
  </cols>
  <sheetData>
    <row r="1" spans="1:7" x14ac:dyDescent="0.2">
      <c r="A1" s="300" t="s">
        <v>226</v>
      </c>
      <c r="C1" s="305" t="s">
        <v>24</v>
      </c>
      <c r="D1" s="305" t="s">
        <v>23</v>
      </c>
      <c r="E1" s="305" t="s">
        <v>22</v>
      </c>
      <c r="G1" s="305" t="s">
        <v>21</v>
      </c>
    </row>
    <row r="3" spans="1:7" ht="17" x14ac:dyDescent="0.2">
      <c r="A3" s="302" t="s">
        <v>58</v>
      </c>
      <c r="B3" s="301" t="s">
        <v>64</v>
      </c>
      <c r="C3" s="314" t="s">
        <v>66</v>
      </c>
      <c r="D3" s="314"/>
      <c r="E3" s="314"/>
      <c r="F3" s="303"/>
      <c r="G3" s="303"/>
    </row>
    <row r="4" spans="1:7" ht="17" x14ac:dyDescent="0.2">
      <c r="B4" s="301" t="s">
        <v>59</v>
      </c>
      <c r="C4" s="314" t="s">
        <v>66</v>
      </c>
      <c r="D4" s="314"/>
      <c r="E4" s="314"/>
      <c r="F4" s="303"/>
      <c r="G4" s="22" t="s">
        <v>66</v>
      </c>
    </row>
    <row r="5" spans="1:7" ht="17" x14ac:dyDescent="0.2">
      <c r="B5" s="301" t="s">
        <v>60</v>
      </c>
      <c r="C5" s="314" t="s">
        <v>66</v>
      </c>
      <c r="D5" s="314"/>
      <c r="E5" s="314"/>
      <c r="F5" s="303"/>
      <c r="G5" s="22" t="s">
        <v>66</v>
      </c>
    </row>
    <row r="6" spans="1:7" ht="17" x14ac:dyDescent="0.2">
      <c r="B6" s="301" t="s">
        <v>62</v>
      </c>
      <c r="C6" s="314" t="s">
        <v>66</v>
      </c>
      <c r="D6" s="314"/>
      <c r="E6" s="314"/>
      <c r="F6" s="303"/>
      <c r="G6" s="303"/>
    </row>
    <row r="8" spans="1:7" ht="17" x14ac:dyDescent="0.2">
      <c r="B8" s="301" t="s">
        <v>61</v>
      </c>
      <c r="C8" s="314" t="s">
        <v>66</v>
      </c>
      <c r="D8" s="314"/>
      <c r="E8" s="314"/>
    </row>
    <row r="12" spans="1:7" ht="34" x14ac:dyDescent="0.2">
      <c r="A12" s="302" t="s">
        <v>36</v>
      </c>
      <c r="B12" s="301" t="s">
        <v>63</v>
      </c>
      <c r="C12" s="314" t="s">
        <v>66</v>
      </c>
      <c r="D12" s="314"/>
      <c r="E12" s="314"/>
      <c r="F12" s="303"/>
      <c r="G12" s="22" t="s">
        <v>225</v>
      </c>
    </row>
    <row r="13" spans="1:7" ht="34" x14ac:dyDescent="0.2">
      <c r="B13" s="301" t="s">
        <v>65</v>
      </c>
      <c r="C13" s="314" t="s">
        <v>66</v>
      </c>
      <c r="D13" s="314"/>
      <c r="E13" s="314"/>
      <c r="F13" s="303"/>
      <c r="G13" s="303"/>
    </row>
    <row r="16" spans="1:7" ht="17" x14ac:dyDescent="0.2">
      <c r="A16" s="302" t="s">
        <v>67</v>
      </c>
      <c r="B16" s="301" t="s">
        <v>76</v>
      </c>
      <c r="C16" s="314" t="s">
        <v>77</v>
      </c>
      <c r="D16" s="314"/>
      <c r="E16" s="314"/>
      <c r="F16" s="303"/>
      <c r="G16" s="22" t="s">
        <v>78</v>
      </c>
    </row>
    <row r="17" spans="1:10" ht="34" x14ac:dyDescent="0.2">
      <c r="B17" s="301" t="s">
        <v>68</v>
      </c>
      <c r="G17" s="304" t="s">
        <v>69</v>
      </c>
      <c r="H17" s="36"/>
      <c r="I17" s="36"/>
      <c r="J17" s="36"/>
    </row>
    <row r="18" spans="1:10" ht="17" x14ac:dyDescent="0.2">
      <c r="B18" s="301" t="s">
        <v>70</v>
      </c>
      <c r="G18" s="22" t="s">
        <v>66</v>
      </c>
    </row>
    <row r="19" spans="1:10" ht="17" x14ac:dyDescent="0.2">
      <c r="B19" s="301" t="s">
        <v>71</v>
      </c>
      <c r="C19" s="314" t="s">
        <v>66</v>
      </c>
      <c r="D19" s="314"/>
      <c r="E19" s="314"/>
    </row>
    <row r="20" spans="1:10" ht="17" x14ac:dyDescent="0.2">
      <c r="B20" s="301" t="s">
        <v>72</v>
      </c>
      <c r="C20" s="314" t="s">
        <v>66</v>
      </c>
      <c r="D20" s="314"/>
      <c r="E20" s="314"/>
    </row>
    <row r="21" spans="1:10" ht="17" x14ac:dyDescent="0.2">
      <c r="B21" s="301" t="s">
        <v>62</v>
      </c>
      <c r="C21" s="314" t="s">
        <v>66</v>
      </c>
      <c r="D21" s="314"/>
      <c r="E21" s="314"/>
    </row>
    <row r="22" spans="1:10" ht="17" x14ac:dyDescent="0.2">
      <c r="B22" s="301" t="s">
        <v>73</v>
      </c>
      <c r="G22" s="22" t="s">
        <v>66</v>
      </c>
    </row>
    <row r="24" spans="1:10" x14ac:dyDescent="0.2">
      <c r="A24" s="302" t="s">
        <v>79</v>
      </c>
      <c r="C24" s="314" t="s">
        <v>66</v>
      </c>
      <c r="D24" s="314"/>
      <c r="E24" s="314"/>
    </row>
    <row r="26" spans="1:10" ht="17" x14ac:dyDescent="0.2">
      <c r="A26" s="302" t="s">
        <v>74</v>
      </c>
      <c r="B26" s="301" t="s">
        <v>75</v>
      </c>
      <c r="C26" s="314" t="s">
        <v>66</v>
      </c>
      <c r="D26" s="314"/>
      <c r="E26" s="314"/>
    </row>
    <row r="27" spans="1:10" ht="17" x14ac:dyDescent="0.2">
      <c r="B27" s="301" t="s">
        <v>73</v>
      </c>
      <c r="C27" s="314" t="s">
        <v>66</v>
      </c>
      <c r="D27" s="314"/>
      <c r="E27" s="314"/>
    </row>
    <row r="28" spans="1:10" ht="17" x14ac:dyDescent="0.2">
      <c r="B28" s="301" t="s">
        <v>70</v>
      </c>
      <c r="C28" s="314" t="s">
        <v>66</v>
      </c>
      <c r="D28" s="314"/>
      <c r="E28" s="314"/>
    </row>
  </sheetData>
  <mergeCells count="15">
    <mergeCell ref="C28:E28"/>
    <mergeCell ref="C19:E19"/>
    <mergeCell ref="C20:E20"/>
    <mergeCell ref="C21:E21"/>
    <mergeCell ref="C3:E3"/>
    <mergeCell ref="C4:E4"/>
    <mergeCell ref="C5:E5"/>
    <mergeCell ref="C6:E6"/>
    <mergeCell ref="C12:E12"/>
    <mergeCell ref="C13:E13"/>
    <mergeCell ref="C26:E26"/>
    <mergeCell ref="C27:E27"/>
    <mergeCell ref="C8:E8"/>
    <mergeCell ref="C16:E16"/>
    <mergeCell ref="C24:E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9D0E-D881-D347-8169-AD151F9853AE}">
  <dimension ref="A1:K16"/>
  <sheetViews>
    <sheetView zoomScale="130" zoomScaleNormal="130" workbookViewId="0">
      <selection activeCell="B3" sqref="B3"/>
    </sheetView>
  </sheetViews>
  <sheetFormatPr baseColWidth="10" defaultRowHeight="16" x14ac:dyDescent="0.2"/>
  <cols>
    <col min="1" max="1" width="9.83203125" bestFit="1" customWidth="1"/>
    <col min="2" max="2" width="12.33203125" bestFit="1" customWidth="1"/>
    <col min="3" max="3" width="5.33203125" bestFit="1" customWidth="1"/>
    <col min="4" max="4" width="4.6640625" bestFit="1" customWidth="1"/>
    <col min="5" max="5" width="5.33203125" bestFit="1" customWidth="1"/>
    <col min="6" max="6" width="4.6640625" bestFit="1" customWidth="1"/>
    <col min="7" max="7" width="5.33203125" bestFit="1" customWidth="1"/>
    <col min="8" max="8" width="4.6640625" bestFit="1" customWidth="1"/>
    <col min="9" max="9" width="9" bestFit="1" customWidth="1"/>
    <col min="10" max="10" width="7" customWidth="1"/>
    <col min="11" max="11" width="9" bestFit="1" customWidth="1"/>
  </cols>
  <sheetData>
    <row r="1" spans="1:11" x14ac:dyDescent="0.2">
      <c r="B1" s="1"/>
      <c r="C1" s="315" t="s">
        <v>47</v>
      </c>
      <c r="D1" s="315"/>
      <c r="E1" s="315"/>
      <c r="F1" s="315"/>
      <c r="G1" s="315"/>
      <c r="H1" s="315"/>
      <c r="I1" s="1"/>
      <c r="J1" s="1"/>
    </row>
    <row r="2" spans="1:11" x14ac:dyDescent="0.2">
      <c r="A2" t="s">
        <v>55</v>
      </c>
      <c r="B2">
        <v>18</v>
      </c>
      <c r="C2" s="316" t="s">
        <v>24</v>
      </c>
      <c r="D2" s="316"/>
      <c r="E2" s="316" t="s">
        <v>23</v>
      </c>
      <c r="F2" s="316"/>
      <c r="G2" s="316" t="s">
        <v>22</v>
      </c>
      <c r="H2" s="316"/>
      <c r="I2" s="23"/>
      <c r="J2" s="23"/>
      <c r="K2" s="24"/>
    </row>
    <row r="3" spans="1:11" x14ac:dyDescent="0.2">
      <c r="A3" s="25" t="s">
        <v>48</v>
      </c>
      <c r="B3" s="8" t="s">
        <v>49</v>
      </c>
      <c r="C3" s="7" t="s">
        <v>18</v>
      </c>
      <c r="D3" s="7" t="s">
        <v>19</v>
      </c>
      <c r="E3" s="7" t="s">
        <v>18</v>
      </c>
      <c r="F3" s="7" t="s">
        <v>19</v>
      </c>
      <c r="G3" s="7" t="s">
        <v>18</v>
      </c>
      <c r="H3" s="7" t="s">
        <v>19</v>
      </c>
      <c r="I3" s="1" t="s">
        <v>50</v>
      </c>
      <c r="J3" s="1" t="s">
        <v>52</v>
      </c>
      <c r="K3" s="1" t="s">
        <v>51</v>
      </c>
    </row>
    <row r="4" spans="1:11" x14ac:dyDescent="0.2">
      <c r="A4" s="26">
        <f t="shared" ref="A4:A11" si="0">$B$2*B4</f>
        <v>540</v>
      </c>
      <c r="B4" s="8">
        <v>30</v>
      </c>
      <c r="C4" s="7">
        <f>COUNTIF(Draft!B$4:B$8,'Slip Count'!$B4)</f>
        <v>0</v>
      </c>
      <c r="D4" s="7">
        <f>COUNTIF(Draft!C$4:C$8,'Slip Count'!$B4)</f>
        <v>0</v>
      </c>
      <c r="E4" s="7">
        <f>COUNTIF(Draft!D$4:D$8,'Slip Count'!$B4)</f>
        <v>0</v>
      </c>
      <c r="F4" s="7">
        <f>COUNTIF(Draft!E$4:E$8,'Slip Count'!$B4)</f>
        <v>0</v>
      </c>
      <c r="G4" s="7">
        <f>COUNTIF(Draft!F$4:F$8,'Slip Count'!$B4)</f>
        <v>5</v>
      </c>
      <c r="H4" s="7">
        <f>COUNTIF(Draft!G$4:G$8,'Slip Count'!$B4)</f>
        <v>5</v>
      </c>
      <c r="I4" s="1">
        <f t="shared" ref="I4:I11" si="1">SUM(C4:H4)</f>
        <v>10</v>
      </c>
      <c r="J4" s="1">
        <f>I4*2</f>
        <v>20</v>
      </c>
      <c r="K4" s="27">
        <f>J4*A4</f>
        <v>10800</v>
      </c>
    </row>
    <row r="5" spans="1:11" x14ac:dyDescent="0.2">
      <c r="A5" s="26">
        <f t="shared" si="0"/>
        <v>504</v>
      </c>
      <c r="B5" s="8">
        <v>28</v>
      </c>
      <c r="C5" s="7">
        <f>COUNTIF(Draft!B$4:B$8,'Slip Count'!$B5)</f>
        <v>0</v>
      </c>
      <c r="D5" s="7">
        <f>COUNTIF(Draft!C$4:C$8,'Slip Count'!$B5)</f>
        <v>0</v>
      </c>
      <c r="E5" s="7">
        <f>COUNTIF(Draft!D$4:D$8,'Slip Count'!$B5)</f>
        <v>0</v>
      </c>
      <c r="F5" s="7">
        <f>COUNTIF(Draft!E$4:E$8,'Slip Count'!$B5)</f>
        <v>0</v>
      </c>
      <c r="G5" s="7">
        <f>COUNTIF(Draft!F$4:F$8,'Slip Count'!$B5)</f>
        <v>0</v>
      </c>
      <c r="H5" s="7">
        <f>COUNTIF(Draft!G$4:G$8,'Slip Count'!$B5)</f>
        <v>0</v>
      </c>
      <c r="I5" s="1">
        <f t="shared" si="1"/>
        <v>0</v>
      </c>
      <c r="J5" s="1">
        <f t="shared" ref="J5:J11" si="2">I5*2</f>
        <v>0</v>
      </c>
      <c r="K5" s="27">
        <f t="shared" ref="K5:K11" si="3">J5*A5</f>
        <v>0</v>
      </c>
    </row>
    <row r="6" spans="1:11" x14ac:dyDescent="0.2">
      <c r="A6" s="26">
        <f t="shared" si="0"/>
        <v>468</v>
      </c>
      <c r="B6" s="8">
        <v>26</v>
      </c>
      <c r="C6" s="7">
        <f>COUNTIF(Draft!B$4:B$8,'Slip Count'!$B6)</f>
        <v>0</v>
      </c>
      <c r="D6" s="7">
        <f>COUNTIF(Draft!C$4:C$8,'Slip Count'!$B6)</f>
        <v>0</v>
      </c>
      <c r="E6" s="7">
        <f>COUNTIF(Draft!D$4:D$8,'Slip Count'!$B6)</f>
        <v>0</v>
      </c>
      <c r="F6" s="7">
        <f>COUNTIF(Draft!E$4:E$8,'Slip Count'!$B6)</f>
        <v>0</v>
      </c>
      <c r="G6" s="7">
        <f>COUNTIF(Draft!F$4:F$8,'Slip Count'!$B6)</f>
        <v>0</v>
      </c>
      <c r="H6" s="7">
        <f>COUNTIF(Draft!G$4:G$8,'Slip Count'!$B6)</f>
        <v>0</v>
      </c>
      <c r="I6" s="1">
        <f t="shared" si="1"/>
        <v>0</v>
      </c>
      <c r="J6" s="1">
        <f t="shared" si="2"/>
        <v>0</v>
      </c>
      <c r="K6" s="27">
        <f t="shared" si="3"/>
        <v>0</v>
      </c>
    </row>
    <row r="7" spans="1:11" x14ac:dyDescent="0.2">
      <c r="A7" s="26">
        <f t="shared" si="0"/>
        <v>450</v>
      </c>
      <c r="B7" s="8">
        <v>25</v>
      </c>
      <c r="C7" s="7">
        <f>COUNTIF(Draft!B$4:B$8,'Slip Count'!$B7)</f>
        <v>0</v>
      </c>
      <c r="D7" s="7">
        <f>COUNTIF(Draft!C$4:C$8,'Slip Count'!$B7)</f>
        <v>0</v>
      </c>
      <c r="E7" s="7">
        <f>COUNTIF(Draft!D$4:D$8,'Slip Count'!$B7)</f>
        <v>5</v>
      </c>
      <c r="F7" s="7">
        <f>COUNTIF(Draft!E$4:E$8,'Slip Count'!$B7)</f>
        <v>5</v>
      </c>
      <c r="G7" s="7">
        <f>COUNTIF(Draft!F$4:F$8,'Slip Count'!$B7)</f>
        <v>0</v>
      </c>
      <c r="H7" s="7">
        <f>COUNTIF(Draft!G$4:G$8,'Slip Count'!$B7)</f>
        <v>0</v>
      </c>
      <c r="I7" s="1">
        <f t="shared" si="1"/>
        <v>10</v>
      </c>
      <c r="J7" s="1">
        <f t="shared" si="2"/>
        <v>20</v>
      </c>
      <c r="K7" s="27">
        <f t="shared" si="3"/>
        <v>9000</v>
      </c>
    </row>
    <row r="8" spans="1:11" x14ac:dyDescent="0.2">
      <c r="A8" s="26">
        <f t="shared" si="0"/>
        <v>432</v>
      </c>
      <c r="B8" s="8">
        <v>24</v>
      </c>
      <c r="C8" s="7">
        <f>COUNTIF(Draft!B$4:B$8,'Slip Count'!$B8)</f>
        <v>0</v>
      </c>
      <c r="D8" s="7">
        <f>COUNTIF(Draft!C$4:C$8,'Slip Count'!$B8)</f>
        <v>0</v>
      </c>
      <c r="E8" s="7">
        <f>COUNTIF(Draft!D$4:D$8,'Slip Count'!$B8)</f>
        <v>0</v>
      </c>
      <c r="F8" s="7">
        <f>COUNTIF(Draft!E$4:E$8,'Slip Count'!$B8)</f>
        <v>0</v>
      </c>
      <c r="G8" s="7">
        <f>COUNTIF(Draft!F$4:F$8,'Slip Count'!$B8)</f>
        <v>0</v>
      </c>
      <c r="H8" s="7">
        <f>COUNTIF(Draft!G$4:G$8,'Slip Count'!$B8)</f>
        <v>0</v>
      </c>
      <c r="I8" s="1">
        <f t="shared" si="1"/>
        <v>0</v>
      </c>
      <c r="J8" s="1">
        <f t="shared" si="2"/>
        <v>0</v>
      </c>
      <c r="K8" s="27">
        <f t="shared" si="3"/>
        <v>0</v>
      </c>
    </row>
    <row r="9" spans="1:11" x14ac:dyDescent="0.2">
      <c r="A9" s="26">
        <f t="shared" si="0"/>
        <v>396</v>
      </c>
      <c r="B9" s="8">
        <v>22</v>
      </c>
      <c r="C9" s="7">
        <f>COUNTIF(Draft!B$4:B$8,'Slip Count'!$B9)</f>
        <v>0</v>
      </c>
      <c r="D9" s="7">
        <f>COUNTIF(Draft!C$4:C$8,'Slip Count'!$B9)</f>
        <v>0</v>
      </c>
      <c r="E9" s="7">
        <f>COUNTIF(Draft!D$4:D$8,'Slip Count'!$B9)</f>
        <v>0</v>
      </c>
      <c r="F9" s="7">
        <f>COUNTIF(Draft!E$4:E$8,'Slip Count'!$B9)</f>
        <v>0</v>
      </c>
      <c r="G9" s="7">
        <f>COUNTIF(Draft!F$4:F$8,'Slip Count'!$B9)</f>
        <v>0</v>
      </c>
      <c r="H9" s="7">
        <f>COUNTIF(Draft!G$4:G$8,'Slip Count'!$B9)</f>
        <v>0</v>
      </c>
      <c r="I9" s="1">
        <f t="shared" si="1"/>
        <v>0</v>
      </c>
      <c r="J9" s="1">
        <f t="shared" si="2"/>
        <v>0</v>
      </c>
      <c r="K9" s="27">
        <f t="shared" si="3"/>
        <v>0</v>
      </c>
    </row>
    <row r="10" spans="1:11" x14ac:dyDescent="0.2">
      <c r="A10" s="26">
        <f t="shared" si="0"/>
        <v>360</v>
      </c>
      <c r="B10" s="8">
        <v>20</v>
      </c>
      <c r="C10" s="7">
        <f>COUNTIF(Draft!B$4:B$8,'Slip Count'!$B10)</f>
        <v>4</v>
      </c>
      <c r="D10" s="7">
        <f>COUNTIF(Draft!C$4:C$8,'Slip Count'!$B10)</f>
        <v>4</v>
      </c>
      <c r="E10" s="7">
        <f>COUNTIF(Draft!D$4:D$8,'Slip Count'!$B10)</f>
        <v>0</v>
      </c>
      <c r="F10" s="7">
        <f>COUNTIF(Draft!E$4:E$8,'Slip Count'!$B10)</f>
        <v>0</v>
      </c>
      <c r="G10" s="7">
        <f>COUNTIF(Draft!F$4:F$8,'Slip Count'!$B10)</f>
        <v>0</v>
      </c>
      <c r="H10" s="7">
        <f>COUNTIF(Draft!G$4:G$8,'Slip Count'!$B10)</f>
        <v>0</v>
      </c>
      <c r="I10" s="1">
        <f t="shared" si="1"/>
        <v>8</v>
      </c>
      <c r="J10" s="1">
        <f t="shared" si="2"/>
        <v>16</v>
      </c>
      <c r="K10" s="27">
        <f t="shared" si="3"/>
        <v>5760</v>
      </c>
    </row>
    <row r="11" spans="1:11" x14ac:dyDescent="0.2">
      <c r="A11" s="26">
        <f t="shared" si="0"/>
        <v>324</v>
      </c>
      <c r="B11" s="8">
        <v>18</v>
      </c>
      <c r="C11" s="7">
        <f>COUNTIF(Draft!B$4:B$8,'Slip Count'!$B11)</f>
        <v>0</v>
      </c>
      <c r="D11" s="7">
        <f>COUNTIF(Draft!C$4:C$8,'Slip Count'!$B11)</f>
        <v>0</v>
      </c>
      <c r="E11" s="7">
        <f>COUNTIF(Draft!D$4:D$8,'Slip Count'!$B11)</f>
        <v>0</v>
      </c>
      <c r="F11" s="7">
        <f>COUNTIF(Draft!E$4:E$8,'Slip Count'!$B11)</f>
        <v>0</v>
      </c>
      <c r="G11" s="7">
        <f>COUNTIF(Draft!F$4:F$8,'Slip Count'!$B11)</f>
        <v>0</v>
      </c>
      <c r="H11" s="7">
        <f>COUNTIF(Draft!G$4:G$8,'Slip Count'!$B11)</f>
        <v>0</v>
      </c>
      <c r="I11" s="1">
        <f t="shared" si="1"/>
        <v>0</v>
      </c>
      <c r="J11" s="1">
        <f t="shared" si="2"/>
        <v>0</v>
      </c>
      <c r="K11" s="27">
        <f t="shared" si="3"/>
        <v>0</v>
      </c>
    </row>
    <row r="12" spans="1:11" x14ac:dyDescent="0.2">
      <c r="B12" s="28" t="s">
        <v>52</v>
      </c>
      <c r="C12" s="29">
        <f t="shared" ref="C12:H12" si="4">SUM(C4:C10)*2</f>
        <v>8</v>
      </c>
      <c r="D12" s="29">
        <f t="shared" si="4"/>
        <v>8</v>
      </c>
      <c r="E12" s="29">
        <f t="shared" si="4"/>
        <v>10</v>
      </c>
      <c r="F12" s="29">
        <f t="shared" si="4"/>
        <v>10</v>
      </c>
      <c r="G12" s="29">
        <f t="shared" si="4"/>
        <v>10</v>
      </c>
      <c r="H12" s="29">
        <f t="shared" si="4"/>
        <v>10</v>
      </c>
      <c r="I12" s="1"/>
      <c r="J12" s="1"/>
    </row>
    <row r="13" spans="1:11" ht="17" thickBot="1" x14ac:dyDescent="0.25">
      <c r="I13" s="35"/>
    </row>
    <row r="14" spans="1:11" ht="17" thickBot="1" x14ac:dyDescent="0.25">
      <c r="H14" s="3" t="s">
        <v>57</v>
      </c>
      <c r="I14">
        <f>SUM(I4:I11)</f>
        <v>28</v>
      </c>
      <c r="J14" s="35"/>
    </row>
    <row r="15" spans="1:11" ht="17" thickBot="1" x14ac:dyDescent="0.25">
      <c r="B15" s="34"/>
      <c r="H15" s="3" t="s">
        <v>53</v>
      </c>
      <c r="J15">
        <f>SUM(J4:J11)</f>
        <v>56</v>
      </c>
      <c r="K15" s="35"/>
    </row>
    <row r="16" spans="1:11" x14ac:dyDescent="0.2">
      <c r="H16" s="3" t="s">
        <v>56</v>
      </c>
      <c r="I16" s="34"/>
      <c r="K16" s="34">
        <f>SUM(K4:K11)</f>
        <v>25560</v>
      </c>
    </row>
  </sheetData>
  <mergeCells count="4">
    <mergeCell ref="C1:H1"/>
    <mergeCell ref="C2:D2"/>
    <mergeCell ref="E2:F2"/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7234-BB16-9446-B6D8-9F7866BBF768}">
  <dimension ref="A1:B13"/>
  <sheetViews>
    <sheetView zoomScale="140" zoomScaleNormal="140" workbookViewId="0"/>
  </sheetViews>
  <sheetFormatPr baseColWidth="10" defaultRowHeight="16" x14ac:dyDescent="0.2"/>
  <cols>
    <col min="1" max="1" width="34.33203125" customWidth="1"/>
  </cols>
  <sheetData>
    <row r="1" spans="1:2" x14ac:dyDescent="0.2">
      <c r="A1" s="300" t="s">
        <v>227</v>
      </c>
    </row>
    <row r="2" spans="1:2" x14ac:dyDescent="0.2">
      <c r="A2" t="s">
        <v>80</v>
      </c>
      <c r="B2">
        <v>85</v>
      </c>
    </row>
    <row r="3" spans="1:2" x14ac:dyDescent="0.2">
      <c r="A3" t="s">
        <v>81</v>
      </c>
      <c r="B3" s="299">
        <v>75</v>
      </c>
    </row>
    <row r="4" spans="1:2" x14ac:dyDescent="0.2">
      <c r="A4" t="s">
        <v>34</v>
      </c>
      <c r="B4" s="299">
        <v>10000</v>
      </c>
    </row>
    <row r="5" spans="1:2" x14ac:dyDescent="0.2">
      <c r="A5" t="s">
        <v>32</v>
      </c>
      <c r="B5" s="299">
        <v>3000</v>
      </c>
    </row>
    <row r="6" spans="1:2" x14ac:dyDescent="0.2">
      <c r="A6" t="s">
        <v>33</v>
      </c>
      <c r="B6" s="299">
        <v>4000</v>
      </c>
    </row>
    <row r="7" spans="1:2" x14ac:dyDescent="0.2">
      <c r="A7" t="s">
        <v>29</v>
      </c>
      <c r="B7" s="299">
        <v>1500</v>
      </c>
    </row>
    <row r="8" spans="1:2" x14ac:dyDescent="0.2">
      <c r="A8" t="s">
        <v>30</v>
      </c>
      <c r="B8">
        <v>8</v>
      </c>
    </row>
    <row r="9" spans="1:2" x14ac:dyDescent="0.2">
      <c r="A9" t="s">
        <v>31</v>
      </c>
      <c r="B9">
        <v>20000</v>
      </c>
    </row>
    <row r="13" spans="1:2" x14ac:dyDescent="0.2">
      <c r="A13" s="299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964C-C1C2-FF42-AE37-103385030902}">
  <dimension ref="A1:I26"/>
  <sheetViews>
    <sheetView zoomScale="140" zoomScaleNormal="140" workbookViewId="0">
      <selection activeCell="A3" sqref="A3:B20"/>
    </sheetView>
  </sheetViews>
  <sheetFormatPr baseColWidth="10" defaultRowHeight="16" x14ac:dyDescent="0.2"/>
  <cols>
    <col min="1" max="1" width="12.5" style="1" bestFit="1" customWidth="1"/>
    <col min="2" max="2" width="5.33203125" style="1" bestFit="1" customWidth="1"/>
    <col min="3" max="3" width="5.1640625" style="1" bestFit="1" customWidth="1"/>
    <col min="4" max="4" width="5.33203125" style="1" bestFit="1" customWidth="1"/>
    <col min="5" max="5" width="5.1640625" style="1" bestFit="1" customWidth="1"/>
    <col min="6" max="6" width="5.33203125" style="1" bestFit="1" customWidth="1"/>
    <col min="7" max="7" width="5.1640625" style="1" bestFit="1" customWidth="1"/>
    <col min="8" max="8" width="9.5" style="1" bestFit="1" customWidth="1"/>
    <col min="9" max="9" width="11.6640625" style="1" bestFit="1" customWidth="1"/>
    <col min="10" max="10" width="11.6640625" bestFit="1" customWidth="1"/>
  </cols>
  <sheetData>
    <row r="1" spans="1:9" x14ac:dyDescent="0.2">
      <c r="A1" s="317" t="s">
        <v>45</v>
      </c>
      <c r="B1" s="317"/>
      <c r="C1" s="317"/>
      <c r="D1" s="317"/>
      <c r="E1" s="317"/>
      <c r="F1" s="317"/>
      <c r="G1" s="317"/>
    </row>
    <row r="2" spans="1:9" x14ac:dyDescent="0.2">
      <c r="A2" s="19" t="s">
        <v>46</v>
      </c>
      <c r="B2" s="19">
        <v>2024</v>
      </c>
      <c r="C2" s="19">
        <v>2023</v>
      </c>
      <c r="D2" s="19">
        <v>2022</v>
      </c>
      <c r="E2" s="19">
        <v>2021</v>
      </c>
      <c r="F2" s="19">
        <v>2020</v>
      </c>
      <c r="G2" s="19">
        <v>2019</v>
      </c>
      <c r="I2"/>
    </row>
    <row r="3" spans="1:9" x14ac:dyDescent="0.2">
      <c r="A3" s="20">
        <v>30</v>
      </c>
      <c r="B3" s="20"/>
      <c r="C3" s="20"/>
      <c r="D3" s="20"/>
      <c r="E3" s="5"/>
      <c r="F3" s="5"/>
      <c r="G3" s="5"/>
      <c r="I3"/>
    </row>
    <row r="4" spans="1:9" x14ac:dyDescent="0.2">
      <c r="A4" s="20">
        <v>29</v>
      </c>
      <c r="B4" s="20"/>
      <c r="C4" s="20"/>
      <c r="D4" s="20"/>
      <c r="E4" s="5"/>
      <c r="F4" s="5"/>
      <c r="G4" s="5"/>
      <c r="I4"/>
    </row>
    <row r="5" spans="1:9" x14ac:dyDescent="0.2">
      <c r="A5" s="20">
        <v>28</v>
      </c>
      <c r="B5" s="20"/>
      <c r="C5" s="20"/>
      <c r="D5" s="20"/>
      <c r="E5" s="5"/>
      <c r="F5" s="5"/>
      <c r="G5" s="5"/>
      <c r="I5"/>
    </row>
    <row r="6" spans="1:9" x14ac:dyDescent="0.2">
      <c r="A6" s="20">
        <v>27</v>
      </c>
      <c r="B6" s="20"/>
      <c r="C6" s="20"/>
      <c r="D6" s="20"/>
      <c r="E6" s="5"/>
      <c r="F6" s="5"/>
      <c r="G6" s="5"/>
      <c r="I6"/>
    </row>
    <row r="7" spans="1:9" x14ac:dyDescent="0.2">
      <c r="A7" s="20">
        <v>26</v>
      </c>
      <c r="B7" s="21">
        <v>2</v>
      </c>
      <c r="C7" s="20">
        <v>1</v>
      </c>
      <c r="D7" s="20">
        <v>1</v>
      </c>
      <c r="E7" s="5"/>
      <c r="F7" s="20">
        <v>3</v>
      </c>
      <c r="G7" s="20">
        <v>2</v>
      </c>
      <c r="I7"/>
    </row>
    <row r="8" spans="1:9" x14ac:dyDescent="0.2">
      <c r="A8" s="20">
        <v>25</v>
      </c>
      <c r="B8" s="21">
        <v>2</v>
      </c>
      <c r="C8" s="20">
        <v>1</v>
      </c>
      <c r="D8" s="20"/>
      <c r="E8" s="5"/>
      <c r="F8" s="20">
        <v>1</v>
      </c>
      <c r="G8" s="20">
        <v>1</v>
      </c>
      <c r="I8"/>
    </row>
    <row r="9" spans="1:9" x14ac:dyDescent="0.2">
      <c r="A9" s="20">
        <v>24</v>
      </c>
      <c r="B9" s="21">
        <v>5</v>
      </c>
      <c r="C9" s="20">
        <v>2</v>
      </c>
      <c r="D9" s="20">
        <v>1</v>
      </c>
      <c r="E9" s="20">
        <v>2</v>
      </c>
      <c r="F9" s="5"/>
      <c r="G9" s="20">
        <v>1</v>
      </c>
      <c r="I9"/>
    </row>
    <row r="10" spans="1:9" x14ac:dyDescent="0.2">
      <c r="A10" s="20">
        <v>23</v>
      </c>
      <c r="B10" s="21">
        <v>8</v>
      </c>
      <c r="C10" s="20">
        <v>2</v>
      </c>
      <c r="D10" s="20">
        <v>3</v>
      </c>
      <c r="E10" s="20">
        <v>2</v>
      </c>
      <c r="F10" s="20">
        <v>3</v>
      </c>
      <c r="G10" s="20">
        <v>3</v>
      </c>
      <c r="I10"/>
    </row>
    <row r="11" spans="1:9" x14ac:dyDescent="0.2">
      <c r="A11" s="20">
        <v>22</v>
      </c>
      <c r="B11" s="21">
        <v>3</v>
      </c>
      <c r="C11" s="20"/>
      <c r="D11" s="20"/>
      <c r="E11" s="5">
        <v>1</v>
      </c>
      <c r="F11" s="20">
        <v>1</v>
      </c>
      <c r="G11" s="20">
        <v>2</v>
      </c>
      <c r="I11"/>
    </row>
    <row r="12" spans="1:9" x14ac:dyDescent="0.2">
      <c r="A12" s="20">
        <v>21</v>
      </c>
      <c r="B12" s="21">
        <v>6</v>
      </c>
      <c r="C12" s="20">
        <v>2</v>
      </c>
      <c r="D12" s="20">
        <v>2</v>
      </c>
      <c r="E12" s="20">
        <v>3</v>
      </c>
      <c r="F12" s="5"/>
      <c r="G12" s="5"/>
      <c r="I12"/>
    </row>
    <row r="13" spans="1:9" x14ac:dyDescent="0.2">
      <c r="A13" s="20">
        <v>20</v>
      </c>
      <c r="B13" s="21">
        <v>7</v>
      </c>
      <c r="C13" s="20">
        <v>2</v>
      </c>
      <c r="D13" s="20"/>
      <c r="E13" s="5"/>
      <c r="F13" s="20">
        <v>2</v>
      </c>
      <c r="G13" s="20">
        <v>1</v>
      </c>
      <c r="I13"/>
    </row>
    <row r="14" spans="1:9" x14ac:dyDescent="0.2">
      <c r="A14" s="20">
        <v>19</v>
      </c>
      <c r="B14" s="21">
        <v>2</v>
      </c>
      <c r="C14" s="20"/>
      <c r="D14" s="20">
        <v>1</v>
      </c>
      <c r="E14" s="5"/>
      <c r="F14" s="5"/>
      <c r="G14" s="5"/>
      <c r="I14"/>
    </row>
    <row r="15" spans="1:9" x14ac:dyDescent="0.2">
      <c r="A15" s="20">
        <v>18</v>
      </c>
      <c r="B15" s="21">
        <v>9</v>
      </c>
      <c r="C15" s="20">
        <v>2</v>
      </c>
      <c r="D15" s="20">
        <v>2</v>
      </c>
      <c r="E15" s="20">
        <v>2</v>
      </c>
      <c r="F15" s="5"/>
      <c r="G15" s="5"/>
      <c r="I15"/>
    </row>
    <row r="16" spans="1:9" x14ac:dyDescent="0.2">
      <c r="A16" s="20">
        <v>17</v>
      </c>
      <c r="B16" s="21">
        <v>1</v>
      </c>
      <c r="C16" s="20"/>
      <c r="D16" s="20">
        <v>1</v>
      </c>
      <c r="E16" s="5"/>
      <c r="F16" s="5"/>
      <c r="G16" s="5"/>
      <c r="I16"/>
    </row>
    <row r="17" spans="1:9" x14ac:dyDescent="0.2">
      <c r="A17" s="20">
        <v>16</v>
      </c>
      <c r="B17" s="21">
        <v>1</v>
      </c>
      <c r="C17" s="20"/>
      <c r="D17" s="20"/>
      <c r="E17" s="5"/>
      <c r="F17" s="5"/>
      <c r="G17" s="5"/>
      <c r="I17"/>
    </row>
    <row r="18" spans="1:9" x14ac:dyDescent="0.2">
      <c r="A18" s="20">
        <v>15</v>
      </c>
      <c r="B18" s="21"/>
      <c r="C18" s="20"/>
      <c r="D18" s="20"/>
      <c r="E18" s="5"/>
      <c r="F18" s="5"/>
      <c r="G18" s="5"/>
      <c r="I18"/>
    </row>
    <row r="19" spans="1:9" x14ac:dyDescent="0.2">
      <c r="A19" s="20">
        <v>14</v>
      </c>
      <c r="B19" s="20">
        <v>2</v>
      </c>
      <c r="C19" s="20"/>
      <c r="D19" s="20"/>
      <c r="E19" s="5"/>
      <c r="F19" s="5"/>
      <c r="G19" s="5"/>
      <c r="I19"/>
    </row>
    <row r="20" spans="1:9" x14ac:dyDescent="0.2">
      <c r="A20" s="20">
        <v>12</v>
      </c>
      <c r="B20" s="20">
        <v>2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I20"/>
    </row>
    <row r="21" spans="1:9" x14ac:dyDescent="0.2">
      <c r="A21" s="22"/>
      <c r="B21" s="22"/>
      <c r="C21" s="22"/>
      <c r="D21" s="22"/>
      <c r="E21" s="22"/>
      <c r="F21" s="22"/>
      <c r="G21" s="22"/>
      <c r="I21"/>
    </row>
    <row r="22" spans="1:9" x14ac:dyDescent="0.2">
      <c r="A22" s="22"/>
      <c r="B22" s="22"/>
      <c r="C22" s="22"/>
      <c r="D22" s="22"/>
      <c r="E22" s="22"/>
      <c r="F22" s="22"/>
      <c r="G22" s="22"/>
      <c r="I22"/>
    </row>
    <row r="26" spans="1:9" x14ac:dyDescent="0.2">
      <c r="H26"/>
      <c r="I26"/>
    </row>
  </sheetData>
  <mergeCells count="1">
    <mergeCell ref="A1:G1"/>
  </mergeCells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545E-64CB-9C48-9A48-1356325805D3}">
  <dimension ref="A1:D18"/>
  <sheetViews>
    <sheetView zoomScale="140" zoomScaleNormal="140" workbookViewId="0">
      <selection activeCell="D5" sqref="D5"/>
    </sheetView>
  </sheetViews>
  <sheetFormatPr baseColWidth="10" defaultRowHeight="16" x14ac:dyDescent="0.2"/>
  <cols>
    <col min="1" max="1" width="22.5" style="6" customWidth="1"/>
    <col min="2" max="2" width="13.1640625" bestFit="1" customWidth="1"/>
    <col min="3" max="4" width="14.1640625" bestFit="1" customWidth="1"/>
  </cols>
  <sheetData>
    <row r="1" spans="1:4" ht="34" x14ac:dyDescent="0.2">
      <c r="A1" s="6" t="s">
        <v>228</v>
      </c>
      <c r="B1" s="298" t="s">
        <v>84</v>
      </c>
      <c r="C1" s="298" t="s">
        <v>85</v>
      </c>
      <c r="D1" s="298" t="s">
        <v>216</v>
      </c>
    </row>
    <row r="2" spans="1:4" x14ac:dyDescent="0.2">
      <c r="B2" s="22"/>
      <c r="C2" s="22"/>
      <c r="D2" s="22"/>
    </row>
    <row r="3" spans="1:4" ht="17" x14ac:dyDescent="0.2">
      <c r="A3" s="295" t="s">
        <v>223</v>
      </c>
    </row>
    <row r="4" spans="1:4" ht="17" x14ac:dyDescent="0.2">
      <c r="A4" s="6" t="s">
        <v>214</v>
      </c>
      <c r="B4" s="294">
        <f>AVERAGE('WVHA Budget History'!$E$56:$I$56)</f>
        <v>6124.0140000000001</v>
      </c>
      <c r="C4" s="294">
        <f>AVERAGE('WVHA Budget History'!$E$56:$N$56)</f>
        <v>6302.5069999999996</v>
      </c>
      <c r="D4" s="294">
        <f>AVERAGE('WVHA Budget History'!$E$56:$X$56)</f>
        <v>5873.1845000000003</v>
      </c>
    </row>
    <row r="5" spans="1:4" ht="17" x14ac:dyDescent="0.2">
      <c r="A5" s="6" t="s">
        <v>215</v>
      </c>
      <c r="B5" s="294">
        <f>AVERAGE('WVHA Budget History'!$E$71:$I$71)</f>
        <v>1677.5440000000003</v>
      </c>
      <c r="C5" s="294">
        <f>AVERAGE('WVHA Budget History'!$E$71:$N$71)</f>
        <v>1658.672</v>
      </c>
      <c r="D5" s="294">
        <f>AVERAGE('WVHA Budget History'!$E$71:$X$71)</f>
        <v>2275.165</v>
      </c>
    </row>
    <row r="6" spans="1:4" ht="51" x14ac:dyDescent="0.2">
      <c r="A6" s="6" t="s">
        <v>220</v>
      </c>
      <c r="B6" s="297">
        <f>12*18*B$18</f>
        <v>8002.0712159999994</v>
      </c>
      <c r="C6" s="297">
        <f>12*18*C$18</f>
        <v>7965.1756080000005</v>
      </c>
      <c r="D6" s="297">
        <f>12*18*D$18</f>
        <v>7596.219924</v>
      </c>
    </row>
    <row r="7" spans="1:4" ht="17" x14ac:dyDescent="0.2">
      <c r="A7" s="296" t="s">
        <v>217</v>
      </c>
      <c r="B7" s="294">
        <f>SUM(B4:B6)</f>
        <v>15803.629216000001</v>
      </c>
      <c r="C7" s="294">
        <f>SUM(C4:C6)</f>
        <v>15926.354608000001</v>
      </c>
      <c r="D7" s="294">
        <f>SUM(D4:D6)</f>
        <v>15744.569424000001</v>
      </c>
    </row>
    <row r="9" spans="1:4" ht="17" x14ac:dyDescent="0.2">
      <c r="A9" s="295" t="s">
        <v>224</v>
      </c>
    </row>
    <row r="10" spans="1:4" ht="17" x14ac:dyDescent="0.2">
      <c r="A10" s="6" t="s">
        <v>221</v>
      </c>
      <c r="B10" s="294">
        <f>AVERAGE('WVHA Budget History'!$E$57:$I$57)</f>
        <v>5128.3999999999996</v>
      </c>
      <c r="C10" s="294">
        <f>AVERAGE('WVHA Budget History'!$E$57:$N$57)</f>
        <v>10059.1</v>
      </c>
      <c r="D10" s="294">
        <f>AVERAGE('WVHA Budget History'!$E$57:$X$57)</f>
        <v>8630.3409999999985</v>
      </c>
    </row>
    <row r="11" spans="1:4" ht="34" x14ac:dyDescent="0.2">
      <c r="A11" s="6" t="s">
        <v>219</v>
      </c>
      <c r="B11" s="294">
        <f>6*18*B$18</f>
        <v>4001.0356079999997</v>
      </c>
      <c r="C11" s="294">
        <f>6*18*C$18</f>
        <v>3982.5878040000002</v>
      </c>
      <c r="D11" s="294">
        <f>6*18*D$18</f>
        <v>3798.109962</v>
      </c>
    </row>
    <row r="12" spans="1:4" ht="51" x14ac:dyDescent="0.2">
      <c r="A12" s="6" t="s">
        <v>231</v>
      </c>
      <c r="B12" s="297">
        <f>12*B18</f>
        <v>444.55951199999993</v>
      </c>
      <c r="C12" s="297">
        <f>12*C18</f>
        <v>442.50975600000004</v>
      </c>
      <c r="D12" s="297">
        <f>12*D18</f>
        <v>422.01221799999996</v>
      </c>
    </row>
    <row r="13" spans="1:4" ht="17" x14ac:dyDescent="0.2">
      <c r="A13" s="296" t="s">
        <v>222</v>
      </c>
      <c r="B13" s="294">
        <f>SUM(B10:B12)</f>
        <v>9573.9951199999996</v>
      </c>
      <c r="C13" s="294">
        <f>SUM(C10:C12)</f>
        <v>14484.197560000001</v>
      </c>
      <c r="D13" s="294">
        <f>SUM(D10:D12)</f>
        <v>12850.463179999999</v>
      </c>
    </row>
    <row r="18" spans="1:4" ht="34" x14ac:dyDescent="0.2">
      <c r="A18" s="6" t="s">
        <v>218</v>
      </c>
      <c r="B18" s="294">
        <f>AVERAGE('WVHA Budget History'!$E$51:$I$51)/3000</f>
        <v>37.046625999999996</v>
      </c>
      <c r="C18" s="294">
        <f>AVERAGE('WVHA Budget History'!$E$51:$N$51)/3000</f>
        <v>36.875813000000001</v>
      </c>
      <c r="D18" s="294">
        <f>AVERAGE('WVHA Budget History'!$E$51:$X$51)/3000</f>
        <v>35.167684833333333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5C10-C7F9-5347-A4E0-9AC49EAAD6FB}">
  <sheetPr>
    <pageSetUpPr fitToPage="1"/>
  </sheetPr>
  <dimension ref="A1:AF148"/>
  <sheetViews>
    <sheetView zoomScale="77" zoomScaleNormal="77" workbookViewId="0">
      <pane ySplit="2" topLeftCell="A3" activePane="bottomLeft" state="frozen"/>
      <selection pane="bottomLeft"/>
    </sheetView>
  </sheetViews>
  <sheetFormatPr baseColWidth="10" defaultColWidth="8.83203125" defaultRowHeight="13" x14ac:dyDescent="0.2"/>
  <cols>
    <col min="1" max="1" width="3.33203125" style="280" customWidth="1"/>
    <col min="2" max="2" width="42.33203125" style="292" customWidth="1"/>
    <col min="3" max="3" width="15.6640625" style="288" customWidth="1"/>
    <col min="4" max="4" width="17.6640625" style="292" customWidth="1"/>
    <col min="5" max="5" width="14.1640625" style="288" customWidth="1"/>
    <col min="6" max="6" width="13.83203125" style="288" customWidth="1"/>
    <col min="7" max="7" width="15.5" style="288" customWidth="1"/>
    <col min="8" max="8" width="14.6640625" style="288" customWidth="1"/>
    <col min="9" max="9" width="15.1640625" style="288" customWidth="1"/>
    <col min="10" max="10" width="15" style="288" customWidth="1"/>
    <col min="11" max="11" width="15.5" style="289" customWidth="1"/>
    <col min="12" max="12" width="13.83203125" style="290" customWidth="1"/>
    <col min="13" max="13" width="15" style="276" customWidth="1"/>
    <col min="14" max="14" width="14.5" style="276" customWidth="1"/>
    <col min="15" max="15" width="13.6640625" style="277" customWidth="1"/>
    <col min="16" max="16" width="15.5" style="278" customWidth="1"/>
    <col min="17" max="17" width="14.33203125" style="278" customWidth="1"/>
    <col min="18" max="18" width="14" style="278" customWidth="1"/>
    <col min="19" max="19" width="13.5" style="279" customWidth="1"/>
    <col min="20" max="20" width="13.33203125" style="279" customWidth="1"/>
    <col min="21" max="21" width="14" style="279" customWidth="1"/>
    <col min="22" max="22" width="13" style="279" customWidth="1"/>
    <col min="23" max="23" width="11.1640625" style="279" customWidth="1"/>
    <col min="24" max="24" width="11.33203125" style="279" customWidth="1"/>
    <col min="25" max="25" width="8.83203125" style="280"/>
    <col min="26" max="26" width="8.83203125" style="280" customWidth="1"/>
    <col min="27" max="16384" width="8.83203125" style="280"/>
  </cols>
  <sheetData>
    <row r="1" spans="2:25" s="45" customFormat="1" ht="15" thickBot="1" x14ac:dyDescent="0.25">
      <c r="B1" s="38" t="s">
        <v>86</v>
      </c>
      <c r="C1" s="39">
        <v>2025</v>
      </c>
      <c r="D1" s="40">
        <v>2025</v>
      </c>
      <c r="E1" s="39">
        <v>2024</v>
      </c>
      <c r="F1" s="39">
        <v>2023</v>
      </c>
      <c r="G1" s="41">
        <v>2022</v>
      </c>
      <c r="H1" s="41">
        <v>2021</v>
      </c>
      <c r="I1" s="41">
        <v>2020</v>
      </c>
      <c r="J1" s="41">
        <v>2019</v>
      </c>
      <c r="K1" s="41">
        <v>2018</v>
      </c>
      <c r="L1" s="41">
        <v>2017</v>
      </c>
      <c r="M1" s="42">
        <v>2016</v>
      </c>
      <c r="N1" s="43">
        <v>2015</v>
      </c>
      <c r="O1" s="43">
        <v>2014</v>
      </c>
      <c r="P1" s="43">
        <v>2013</v>
      </c>
      <c r="Q1" s="43">
        <v>2012</v>
      </c>
      <c r="R1" s="43">
        <v>2011</v>
      </c>
      <c r="S1" s="43">
        <v>2010</v>
      </c>
      <c r="T1" s="43">
        <v>2009</v>
      </c>
      <c r="U1" s="43">
        <v>2008</v>
      </c>
      <c r="V1" s="43">
        <v>2007</v>
      </c>
      <c r="W1" s="43">
        <v>2006</v>
      </c>
      <c r="X1" s="43">
        <v>2005</v>
      </c>
      <c r="Y1" s="44"/>
    </row>
    <row r="2" spans="2:25" s="53" customFormat="1" ht="14" x14ac:dyDescent="0.2">
      <c r="B2" s="46" t="s">
        <v>87</v>
      </c>
      <c r="C2" s="47" t="s">
        <v>88</v>
      </c>
      <c r="D2" s="46" t="s">
        <v>89</v>
      </c>
      <c r="E2" s="47" t="s">
        <v>88</v>
      </c>
      <c r="F2" s="47" t="s">
        <v>88</v>
      </c>
      <c r="G2" s="48" t="s">
        <v>88</v>
      </c>
      <c r="H2" s="48" t="s">
        <v>88</v>
      </c>
      <c r="I2" s="48" t="s">
        <v>88</v>
      </c>
      <c r="J2" s="48" t="s">
        <v>88</v>
      </c>
      <c r="K2" s="48" t="s">
        <v>88</v>
      </c>
      <c r="L2" s="49" t="s">
        <v>88</v>
      </c>
      <c r="M2" s="50" t="s">
        <v>88</v>
      </c>
      <c r="N2" s="51" t="s">
        <v>88</v>
      </c>
      <c r="O2" s="51" t="s">
        <v>88</v>
      </c>
      <c r="P2" s="51" t="s">
        <v>88</v>
      </c>
      <c r="Q2" s="51" t="s">
        <v>88</v>
      </c>
      <c r="R2" s="51" t="s">
        <v>88</v>
      </c>
      <c r="S2" s="51" t="s">
        <v>88</v>
      </c>
      <c r="T2" s="51" t="s">
        <v>88</v>
      </c>
      <c r="U2" s="51" t="s">
        <v>88</v>
      </c>
      <c r="V2" s="51" t="s">
        <v>88</v>
      </c>
      <c r="W2" s="51" t="s">
        <v>88</v>
      </c>
      <c r="X2" s="51" t="s">
        <v>88</v>
      </c>
      <c r="Y2" s="52"/>
    </row>
    <row r="3" spans="2:25" s="63" customFormat="1" ht="15" x14ac:dyDescent="0.2">
      <c r="B3" s="54" t="s">
        <v>90</v>
      </c>
      <c r="C3" s="55"/>
      <c r="D3" s="54"/>
      <c r="E3" s="55"/>
      <c r="F3" s="55"/>
      <c r="G3" s="56"/>
      <c r="H3" s="56"/>
      <c r="I3" s="56"/>
      <c r="J3" s="56"/>
      <c r="K3" s="57"/>
      <c r="L3" s="58"/>
      <c r="M3" s="59"/>
      <c r="N3" s="59"/>
      <c r="O3" s="59"/>
      <c r="P3" s="60"/>
      <c r="Q3" s="60"/>
      <c r="R3" s="60"/>
      <c r="S3" s="61"/>
      <c r="T3" s="61"/>
      <c r="U3" s="61"/>
      <c r="V3" s="61"/>
      <c r="W3" s="61"/>
      <c r="X3" s="61"/>
      <c r="Y3" s="62"/>
    </row>
    <row r="4" spans="2:25" s="63" customFormat="1" ht="14" x14ac:dyDescent="0.2">
      <c r="B4" s="54"/>
      <c r="C4" s="55"/>
      <c r="D4" s="54"/>
      <c r="E4" s="55"/>
      <c r="F4" s="55"/>
      <c r="G4" s="56"/>
      <c r="H4" s="56"/>
      <c r="I4" s="56"/>
      <c r="J4" s="56"/>
      <c r="K4" s="57"/>
      <c r="L4" s="58"/>
      <c r="M4" s="59"/>
      <c r="N4" s="59"/>
      <c r="O4" s="59"/>
      <c r="P4" s="60"/>
      <c r="Q4" s="60"/>
      <c r="R4" s="60"/>
      <c r="S4" s="61"/>
      <c r="T4" s="61"/>
      <c r="U4" s="61"/>
      <c r="V4" s="61"/>
      <c r="W4" s="61"/>
      <c r="X4" s="61"/>
      <c r="Y4" s="62"/>
    </row>
    <row r="5" spans="2:25" s="63" customFormat="1" ht="15" x14ac:dyDescent="0.2">
      <c r="B5" s="54" t="s">
        <v>91</v>
      </c>
      <c r="C5" s="55"/>
      <c r="D5" s="54">
        <f>430*74*12</f>
        <v>381840</v>
      </c>
      <c r="E5" s="55"/>
      <c r="F5" s="55"/>
      <c r="G5" s="56"/>
      <c r="H5" s="56"/>
      <c r="I5" s="56"/>
      <c r="J5" s="56"/>
      <c r="K5" s="57"/>
      <c r="L5" s="58"/>
      <c r="M5" s="59"/>
      <c r="N5" s="59"/>
      <c r="O5" s="59"/>
      <c r="P5" s="60"/>
      <c r="Q5" s="60"/>
      <c r="R5" s="60"/>
      <c r="S5" s="61"/>
      <c r="T5" s="61"/>
      <c r="U5" s="61"/>
      <c r="V5" s="61"/>
      <c r="W5" s="61"/>
      <c r="X5" s="61"/>
      <c r="Y5" s="62"/>
    </row>
    <row r="6" spans="2:25" s="63" customFormat="1" ht="14" x14ac:dyDescent="0.2">
      <c r="B6" s="64" t="s">
        <v>92</v>
      </c>
      <c r="C6" s="65"/>
      <c r="D6" s="64"/>
      <c r="E6" s="65"/>
      <c r="F6" s="65"/>
      <c r="G6" s="66"/>
      <c r="H6" s="66"/>
      <c r="I6" s="66"/>
      <c r="J6" s="66"/>
      <c r="K6" s="57"/>
      <c r="L6" s="67"/>
      <c r="M6" s="59"/>
      <c r="N6" s="59"/>
      <c r="O6" s="59"/>
      <c r="P6" s="60"/>
      <c r="Q6" s="60"/>
      <c r="R6" s="60"/>
      <c r="S6" s="61"/>
      <c r="T6" s="61"/>
      <c r="U6" s="61"/>
      <c r="V6" s="61"/>
      <c r="W6" s="61"/>
      <c r="X6" s="61"/>
      <c r="Y6" s="62"/>
    </row>
    <row r="7" spans="2:25" s="63" customFormat="1" ht="14" x14ac:dyDescent="0.2">
      <c r="B7" s="68" t="s">
        <v>93</v>
      </c>
      <c r="C7" s="65"/>
      <c r="D7" s="64"/>
      <c r="E7" s="65"/>
      <c r="F7" s="65"/>
      <c r="G7" s="66"/>
      <c r="H7" s="66"/>
      <c r="I7" s="66"/>
      <c r="J7" s="66"/>
      <c r="K7" s="57"/>
      <c r="L7" s="67"/>
      <c r="M7" s="59"/>
      <c r="N7" s="59"/>
      <c r="O7" s="59"/>
      <c r="P7" s="60"/>
      <c r="Q7" s="60"/>
      <c r="R7" s="60"/>
      <c r="S7" s="61"/>
      <c r="T7" s="61"/>
      <c r="U7" s="61"/>
      <c r="V7" s="61"/>
      <c r="W7" s="61"/>
      <c r="X7" s="61"/>
      <c r="Y7" s="62"/>
    </row>
    <row r="8" spans="2:25" s="63" customFormat="1" ht="14" x14ac:dyDescent="0.2">
      <c r="B8" s="68" t="s">
        <v>94</v>
      </c>
      <c r="C8" s="69"/>
      <c r="D8" s="68"/>
      <c r="E8" s="69"/>
      <c r="F8" s="65"/>
      <c r="G8" s="66"/>
      <c r="H8" s="66"/>
      <c r="I8" s="66"/>
      <c r="J8" s="66"/>
      <c r="K8" s="57"/>
      <c r="L8" s="67"/>
      <c r="M8" s="59"/>
      <c r="N8" s="59"/>
      <c r="O8" s="59"/>
      <c r="P8" s="60"/>
      <c r="Q8" s="60"/>
      <c r="R8" s="60"/>
      <c r="S8" s="61"/>
      <c r="T8" s="61"/>
      <c r="U8" s="61"/>
      <c r="V8" s="61"/>
      <c r="W8" s="61"/>
      <c r="X8" s="61"/>
      <c r="Y8" s="62"/>
    </row>
    <row r="9" spans="2:25" s="63" customFormat="1" ht="14" x14ac:dyDescent="0.2">
      <c r="B9" s="68" t="s">
        <v>95</v>
      </c>
      <c r="C9" s="69"/>
      <c r="D9" s="68"/>
      <c r="E9" s="69"/>
      <c r="F9" s="65"/>
      <c r="G9" s="66"/>
      <c r="H9" s="66"/>
      <c r="I9" s="66"/>
      <c r="J9" s="66"/>
      <c r="K9" s="57"/>
      <c r="L9" s="70"/>
      <c r="M9" s="59"/>
      <c r="N9" s="59"/>
      <c r="O9" s="59"/>
      <c r="P9" s="60"/>
      <c r="Q9" s="60"/>
      <c r="R9" s="60"/>
      <c r="S9" s="61"/>
      <c r="T9" s="61"/>
      <c r="U9" s="61"/>
      <c r="V9" s="61"/>
      <c r="W9" s="61"/>
      <c r="X9" s="61"/>
      <c r="Y9" s="62"/>
    </row>
    <row r="10" spans="2:25" s="63" customFormat="1" ht="16.5" customHeight="1" x14ac:dyDescent="0.2">
      <c r="B10" s="71" t="s">
        <v>96</v>
      </c>
      <c r="C10" s="72"/>
      <c r="D10" s="73"/>
      <c r="E10" s="72"/>
      <c r="F10" s="72"/>
      <c r="G10" s="74"/>
      <c r="H10" s="74"/>
      <c r="I10" s="74"/>
      <c r="J10" s="74"/>
      <c r="K10" s="70"/>
      <c r="L10" s="70"/>
      <c r="M10" s="59"/>
      <c r="N10" s="59"/>
      <c r="O10" s="59"/>
      <c r="P10" s="60"/>
      <c r="Q10" s="60"/>
      <c r="R10" s="60"/>
      <c r="S10" s="61"/>
      <c r="T10" s="61"/>
      <c r="U10" s="61"/>
      <c r="V10" s="61"/>
      <c r="W10" s="61"/>
      <c r="X10" s="61"/>
      <c r="Y10" s="62"/>
    </row>
    <row r="11" spans="2:25" s="63" customFormat="1" ht="16.5" customHeight="1" x14ac:dyDescent="0.2">
      <c r="B11" s="73" t="s">
        <v>97</v>
      </c>
      <c r="C11" s="72"/>
      <c r="D11" s="73"/>
      <c r="E11" s="72"/>
      <c r="F11" s="72"/>
      <c r="G11" s="74"/>
      <c r="H11" s="74"/>
      <c r="I11" s="74"/>
      <c r="J11" s="74"/>
      <c r="K11" s="70"/>
      <c r="L11" s="70"/>
      <c r="M11" s="59"/>
      <c r="N11" s="59"/>
      <c r="O11" s="59"/>
      <c r="P11" s="60"/>
      <c r="Q11" s="60"/>
      <c r="R11" s="60"/>
      <c r="S11" s="61"/>
      <c r="T11" s="61"/>
      <c r="U11" s="61"/>
      <c r="V11" s="61"/>
      <c r="W11" s="61"/>
      <c r="X11" s="61"/>
      <c r="Y11" s="62"/>
    </row>
    <row r="12" spans="2:25" s="63" customFormat="1" ht="16.5" customHeight="1" x14ac:dyDescent="0.2">
      <c r="B12" s="73" t="s">
        <v>98</v>
      </c>
      <c r="C12" s="72"/>
      <c r="D12" s="73"/>
      <c r="E12" s="72"/>
      <c r="F12" s="72"/>
      <c r="G12" s="74"/>
      <c r="H12" s="74"/>
      <c r="I12" s="74"/>
      <c r="J12" s="74"/>
      <c r="K12" s="70"/>
      <c r="L12" s="70"/>
      <c r="M12" s="59"/>
      <c r="N12" s="59"/>
      <c r="O12" s="59"/>
      <c r="P12" s="60"/>
      <c r="Q12" s="60"/>
      <c r="R12" s="60"/>
      <c r="S12" s="61"/>
      <c r="T12" s="61"/>
      <c r="U12" s="61"/>
      <c r="V12" s="61"/>
      <c r="W12" s="61"/>
      <c r="X12" s="61"/>
      <c r="Y12" s="62"/>
    </row>
    <row r="13" spans="2:25" s="63" customFormat="1" ht="14" x14ac:dyDescent="0.2">
      <c r="B13" s="73" t="s">
        <v>99</v>
      </c>
      <c r="C13" s="72"/>
      <c r="D13" s="73"/>
      <c r="E13" s="72"/>
      <c r="F13" s="72"/>
      <c r="G13" s="75"/>
      <c r="H13" s="75"/>
      <c r="I13" s="75"/>
      <c r="J13" s="75"/>
      <c r="K13" s="70"/>
      <c r="L13" s="58"/>
      <c r="M13" s="59"/>
      <c r="N13" s="59"/>
      <c r="O13" s="59"/>
      <c r="P13" s="60"/>
      <c r="Q13" s="60"/>
      <c r="R13" s="60"/>
      <c r="S13" s="61"/>
      <c r="T13" s="61"/>
      <c r="U13" s="61"/>
      <c r="V13" s="61"/>
      <c r="W13" s="61"/>
      <c r="X13" s="61"/>
      <c r="Y13" s="62"/>
    </row>
    <row r="14" spans="2:25" s="81" customFormat="1" ht="14" x14ac:dyDescent="0.2">
      <c r="B14" s="73" t="s">
        <v>100</v>
      </c>
      <c r="C14" s="72"/>
      <c r="D14" s="73"/>
      <c r="E14" s="72"/>
      <c r="F14" s="72"/>
      <c r="G14" s="75"/>
      <c r="H14" s="75"/>
      <c r="I14" s="75"/>
      <c r="J14" s="75"/>
      <c r="K14" s="70"/>
      <c r="L14" s="70" t="s">
        <v>86</v>
      </c>
      <c r="M14" s="76"/>
      <c r="N14" s="76"/>
      <c r="O14" s="76"/>
      <c r="P14" s="77"/>
      <c r="Q14" s="77"/>
      <c r="R14" s="77"/>
      <c r="S14" s="78"/>
      <c r="T14" s="78"/>
      <c r="U14" s="78"/>
      <c r="V14" s="79"/>
      <c r="W14" s="79"/>
      <c r="X14" s="79"/>
      <c r="Y14" s="80"/>
    </row>
    <row r="15" spans="2:25" s="81" customFormat="1" ht="14" x14ac:dyDescent="0.2">
      <c r="B15" s="73" t="s">
        <v>101</v>
      </c>
      <c r="C15" s="72"/>
      <c r="D15" s="73"/>
      <c r="E15" s="72"/>
      <c r="F15" s="72"/>
      <c r="G15" s="75"/>
      <c r="H15" s="75"/>
      <c r="I15" s="75"/>
      <c r="J15" s="75"/>
      <c r="K15" s="70"/>
      <c r="L15" s="70"/>
      <c r="M15" s="82">
        <v>269064</v>
      </c>
      <c r="N15" s="60"/>
      <c r="O15" s="76"/>
      <c r="P15" s="77"/>
      <c r="Q15" s="77"/>
      <c r="R15" s="77"/>
      <c r="S15" s="78"/>
      <c r="T15" s="78"/>
      <c r="U15" s="78"/>
      <c r="V15" s="79"/>
      <c r="W15" s="79"/>
      <c r="X15" s="79"/>
      <c r="Y15" s="80"/>
    </row>
    <row r="16" spans="2:25" s="81" customFormat="1" ht="14" x14ac:dyDescent="0.2">
      <c r="B16" s="73" t="s">
        <v>102</v>
      </c>
      <c r="C16" s="72"/>
      <c r="D16" s="73"/>
      <c r="E16" s="72"/>
      <c r="F16" s="72"/>
      <c r="G16" s="75"/>
      <c r="H16" s="75"/>
      <c r="I16" s="75"/>
      <c r="J16" s="75"/>
      <c r="K16" s="70"/>
      <c r="L16" s="70"/>
      <c r="M16" s="79"/>
      <c r="N16" s="59">
        <v>260412</v>
      </c>
      <c r="O16" s="59"/>
      <c r="P16" s="77"/>
      <c r="Q16" s="77"/>
      <c r="R16" s="77"/>
      <c r="S16" s="78"/>
      <c r="T16" s="78"/>
      <c r="U16" s="78"/>
      <c r="V16" s="79"/>
      <c r="W16" s="79"/>
      <c r="X16" s="79"/>
      <c r="Y16" s="80"/>
    </row>
    <row r="17" spans="1:25" s="81" customFormat="1" ht="14" x14ac:dyDescent="0.2">
      <c r="B17" s="73" t="s">
        <v>103</v>
      </c>
      <c r="C17" s="72"/>
      <c r="D17" s="73"/>
      <c r="E17" s="72"/>
      <c r="F17" s="72"/>
      <c r="G17" s="75"/>
      <c r="H17" s="75"/>
      <c r="I17" s="75"/>
      <c r="J17" s="75"/>
      <c r="K17" s="70"/>
      <c r="L17" s="70"/>
      <c r="M17" s="82"/>
      <c r="N17" s="59"/>
      <c r="O17" s="59">
        <v>253080</v>
      </c>
      <c r="P17" s="60"/>
      <c r="Q17" s="77"/>
      <c r="R17" s="77"/>
      <c r="S17" s="78"/>
      <c r="T17" s="78"/>
      <c r="U17" s="78"/>
      <c r="V17" s="79"/>
      <c r="W17" s="79"/>
      <c r="X17" s="79"/>
      <c r="Y17" s="80"/>
    </row>
    <row r="18" spans="1:25" s="81" customFormat="1" ht="14" x14ac:dyDescent="0.2">
      <c r="B18" s="73" t="s">
        <v>104</v>
      </c>
      <c r="C18" s="72"/>
      <c r="D18" s="73"/>
      <c r="E18" s="72"/>
      <c r="F18" s="72"/>
      <c r="G18" s="75"/>
      <c r="H18" s="75"/>
      <c r="I18" s="75"/>
      <c r="J18" s="75"/>
      <c r="K18" s="70"/>
      <c r="L18" s="70"/>
      <c r="M18" s="82"/>
      <c r="N18" s="59"/>
      <c r="O18" s="59"/>
      <c r="P18" s="60">
        <v>245088</v>
      </c>
      <c r="Q18" s="79"/>
      <c r="R18" s="77"/>
      <c r="S18" s="78"/>
      <c r="T18" s="78"/>
      <c r="U18" s="78"/>
      <c r="V18" s="79"/>
      <c r="W18" s="79"/>
      <c r="X18" s="79"/>
      <c r="Y18" s="80"/>
    </row>
    <row r="19" spans="1:25" s="81" customFormat="1" ht="14" x14ac:dyDescent="0.2">
      <c r="B19" s="73" t="s">
        <v>105</v>
      </c>
      <c r="C19" s="72"/>
      <c r="D19" s="73"/>
      <c r="E19" s="72"/>
      <c r="F19" s="72"/>
      <c r="G19" s="83"/>
      <c r="H19" s="83"/>
      <c r="I19" s="83"/>
      <c r="J19" s="83"/>
      <c r="K19" s="84"/>
      <c r="L19" s="84"/>
      <c r="M19" s="85"/>
      <c r="N19" s="86"/>
      <c r="O19" s="86"/>
      <c r="P19" s="87"/>
      <c r="Q19" s="87">
        <v>237555</v>
      </c>
      <c r="R19" s="88"/>
      <c r="S19" s="79">
        <v>215784</v>
      </c>
      <c r="T19" s="79">
        <v>208382</v>
      </c>
      <c r="U19" s="79">
        <v>200688</v>
      </c>
      <c r="V19" s="79">
        <v>194472</v>
      </c>
      <c r="W19" s="79">
        <v>189144</v>
      </c>
      <c r="X19" s="79">
        <v>183936</v>
      </c>
      <c r="Y19" s="80"/>
    </row>
    <row r="20" spans="1:25" s="81" customFormat="1" ht="14" x14ac:dyDescent="0.2">
      <c r="A20" s="89"/>
      <c r="B20" s="73" t="s">
        <v>106</v>
      </c>
      <c r="C20" s="72"/>
      <c r="D20" s="73"/>
      <c r="E20" s="72"/>
      <c r="F20" s="72"/>
      <c r="G20" s="83"/>
      <c r="H20" s="83"/>
      <c r="I20" s="83"/>
      <c r="J20" s="83"/>
      <c r="K20" s="84"/>
      <c r="L20" s="84"/>
      <c r="M20" s="85"/>
      <c r="N20" s="86"/>
      <c r="O20" s="86"/>
      <c r="P20" s="87"/>
      <c r="Q20" s="87"/>
      <c r="R20" s="87">
        <v>230880</v>
      </c>
      <c r="S20" s="79"/>
      <c r="T20" s="79"/>
      <c r="U20" s="79"/>
      <c r="V20" s="79"/>
      <c r="W20" s="79"/>
      <c r="X20" s="79"/>
      <c r="Y20" s="80"/>
    </row>
    <row r="21" spans="1:25" s="81" customFormat="1" ht="17" x14ac:dyDescent="0.2">
      <c r="A21" s="89"/>
      <c r="B21" s="90" t="s">
        <v>107</v>
      </c>
      <c r="C21" s="72"/>
      <c r="D21" s="90">
        <f>390*5*12</f>
        <v>23400</v>
      </c>
      <c r="E21" s="91"/>
      <c r="F21" s="72"/>
      <c r="G21" s="83"/>
      <c r="H21" s="83"/>
      <c r="I21" s="83"/>
      <c r="J21" s="83"/>
      <c r="K21" s="84"/>
      <c r="L21" s="84"/>
      <c r="M21" s="85"/>
      <c r="N21" s="86"/>
      <c r="O21" s="86"/>
      <c r="P21" s="87"/>
      <c r="Q21" s="87"/>
      <c r="R21" s="87"/>
      <c r="S21" s="79"/>
      <c r="T21" s="79"/>
      <c r="U21" s="79"/>
      <c r="V21" s="79"/>
      <c r="W21" s="79"/>
      <c r="X21" s="79"/>
      <c r="Y21" s="80"/>
    </row>
    <row r="22" spans="1:25" s="81" customFormat="1" x14ac:dyDescent="0.2">
      <c r="B22" s="89" t="s">
        <v>108</v>
      </c>
      <c r="C22" s="92"/>
      <c r="D22" s="93"/>
      <c r="E22" s="92"/>
      <c r="F22" s="72"/>
      <c r="G22" s="83"/>
      <c r="H22" s="83"/>
      <c r="I22" s="83"/>
      <c r="J22" s="83"/>
      <c r="K22" s="84"/>
      <c r="L22" s="84"/>
      <c r="M22" s="85"/>
      <c r="N22" s="86"/>
      <c r="O22" s="86"/>
      <c r="P22" s="87"/>
      <c r="Q22" s="87"/>
      <c r="R22" s="87"/>
      <c r="S22" s="79"/>
      <c r="T22" s="79"/>
      <c r="U22" s="79"/>
      <c r="V22" s="79"/>
      <c r="W22" s="79"/>
      <c r="X22" s="79"/>
      <c r="Y22" s="80"/>
    </row>
    <row r="23" spans="1:25" s="81" customFormat="1" ht="14" x14ac:dyDescent="0.2">
      <c r="A23" s="94"/>
      <c r="B23" s="73" t="s">
        <v>109</v>
      </c>
      <c r="C23" s="72"/>
      <c r="D23" s="73"/>
      <c r="E23" s="72"/>
      <c r="F23" s="95"/>
      <c r="G23" s="96"/>
      <c r="H23" s="83"/>
      <c r="I23" s="83"/>
      <c r="J23" s="83"/>
      <c r="K23" s="84"/>
      <c r="L23" s="84"/>
      <c r="M23" s="85"/>
      <c r="N23" s="86"/>
      <c r="O23" s="86"/>
      <c r="P23" s="87"/>
      <c r="Q23" s="87"/>
      <c r="R23" s="87"/>
      <c r="S23" s="79"/>
      <c r="T23" s="79"/>
      <c r="U23" s="79"/>
      <c r="V23" s="79"/>
      <c r="W23" s="79"/>
      <c r="X23" s="79"/>
      <c r="Y23" s="80"/>
    </row>
    <row r="24" spans="1:25" s="103" customFormat="1" ht="16.5" customHeight="1" x14ac:dyDescent="0.2">
      <c r="A24" s="63"/>
      <c r="B24" s="73" t="s">
        <v>110</v>
      </c>
      <c r="C24" s="72"/>
      <c r="D24" s="73"/>
      <c r="E24" s="72"/>
      <c r="F24" s="95"/>
      <c r="G24" s="96"/>
      <c r="H24" s="96"/>
      <c r="I24" s="96"/>
      <c r="J24" s="96"/>
      <c r="K24" s="97"/>
      <c r="L24" s="97"/>
      <c r="M24" s="98"/>
      <c r="N24" s="99"/>
      <c r="O24" s="99"/>
      <c r="P24" s="100"/>
      <c r="Q24" s="100"/>
      <c r="R24" s="100"/>
      <c r="S24" s="101"/>
      <c r="T24" s="101"/>
      <c r="U24" s="101"/>
      <c r="V24" s="101"/>
      <c r="W24" s="101"/>
      <c r="X24" s="101"/>
      <c r="Y24" s="102"/>
    </row>
    <row r="25" spans="1:25" s="81" customFormat="1" ht="16.5" customHeight="1" x14ac:dyDescent="0.2">
      <c r="A25" s="63"/>
      <c r="B25" s="73" t="s">
        <v>111</v>
      </c>
      <c r="C25" s="72"/>
      <c r="D25" s="73"/>
      <c r="E25" s="72"/>
      <c r="F25" s="72"/>
      <c r="G25" s="96"/>
      <c r="H25" s="96"/>
      <c r="I25" s="96"/>
      <c r="J25" s="96"/>
      <c r="K25" s="84"/>
      <c r="L25" s="84"/>
      <c r="M25" s="85"/>
      <c r="N25" s="86"/>
      <c r="O25" s="86"/>
      <c r="P25" s="87"/>
      <c r="Q25" s="87"/>
      <c r="R25" s="87"/>
      <c r="S25" s="79"/>
      <c r="T25" s="79"/>
      <c r="U25" s="79"/>
      <c r="V25" s="79"/>
      <c r="W25" s="79"/>
      <c r="X25" s="79"/>
      <c r="Y25" s="80"/>
    </row>
    <row r="26" spans="1:25" s="81" customFormat="1" ht="16.5" customHeight="1" x14ac:dyDescent="0.2">
      <c r="A26" s="63"/>
      <c r="B26" s="73" t="s">
        <v>112</v>
      </c>
      <c r="C26" s="72"/>
      <c r="D26" s="73"/>
      <c r="E26" s="72"/>
      <c r="F26" s="72"/>
      <c r="G26" s="96"/>
      <c r="H26" s="96"/>
      <c r="I26" s="96"/>
      <c r="J26" s="96"/>
      <c r="K26" s="84"/>
      <c r="L26" s="84"/>
      <c r="M26" s="85"/>
      <c r="N26" s="86"/>
      <c r="O26" s="86"/>
      <c r="P26" s="87"/>
      <c r="Q26" s="87"/>
      <c r="R26" s="87"/>
      <c r="S26" s="79"/>
      <c r="T26" s="79"/>
      <c r="U26" s="79"/>
      <c r="V26" s="79"/>
      <c r="W26" s="79"/>
      <c r="X26" s="79"/>
      <c r="Y26" s="80"/>
    </row>
    <row r="27" spans="1:25" s="81" customFormat="1" ht="16.5" customHeight="1" x14ac:dyDescent="0.2">
      <c r="A27" s="63"/>
      <c r="B27" s="73" t="s">
        <v>113</v>
      </c>
      <c r="C27" s="72"/>
      <c r="D27" s="73"/>
      <c r="E27" s="72"/>
      <c r="F27" s="72"/>
      <c r="G27" s="96"/>
      <c r="H27" s="96"/>
      <c r="I27" s="96"/>
      <c r="J27" s="96"/>
      <c r="K27" s="84"/>
      <c r="L27" s="84"/>
      <c r="M27" s="85"/>
      <c r="N27" s="86"/>
      <c r="O27" s="86"/>
      <c r="P27" s="87"/>
      <c r="Q27" s="87"/>
      <c r="R27" s="87"/>
      <c r="S27" s="79"/>
      <c r="T27" s="79"/>
      <c r="U27" s="79"/>
      <c r="V27" s="79"/>
      <c r="W27" s="79"/>
      <c r="X27" s="79"/>
      <c r="Y27" s="80"/>
    </row>
    <row r="28" spans="1:25" s="81" customFormat="1" ht="13.5" customHeight="1" x14ac:dyDescent="0.2">
      <c r="A28" s="63"/>
      <c r="B28" s="73" t="s">
        <v>114</v>
      </c>
      <c r="C28" s="72"/>
      <c r="D28" s="73"/>
      <c r="E28" s="72"/>
      <c r="F28" s="72"/>
      <c r="G28" s="83"/>
      <c r="H28" s="83"/>
      <c r="I28" s="83"/>
      <c r="J28" s="83"/>
      <c r="K28" s="84"/>
      <c r="L28" s="84" t="s">
        <v>86</v>
      </c>
      <c r="M28" s="85"/>
      <c r="N28" s="86"/>
      <c r="O28" s="86"/>
      <c r="P28" s="87"/>
      <c r="Q28" s="87"/>
      <c r="R28" s="87"/>
      <c r="S28" s="79"/>
      <c r="T28" s="79"/>
      <c r="U28" s="79"/>
      <c r="V28" s="79"/>
      <c r="W28" s="79"/>
      <c r="X28" s="79"/>
      <c r="Y28" s="80"/>
    </row>
    <row r="29" spans="1:25" s="81" customFormat="1" ht="14" x14ac:dyDescent="0.2">
      <c r="A29" s="63"/>
      <c r="B29" s="73" t="s">
        <v>115</v>
      </c>
      <c r="C29" s="72"/>
      <c r="D29" s="73"/>
      <c r="E29" s="72"/>
      <c r="F29" s="72"/>
      <c r="G29" s="83"/>
      <c r="H29" s="83"/>
      <c r="I29" s="83"/>
      <c r="J29" s="83"/>
      <c r="K29" s="84"/>
      <c r="L29" s="84"/>
      <c r="M29" s="85"/>
      <c r="N29" s="86"/>
      <c r="O29" s="86"/>
      <c r="P29" s="87"/>
      <c r="Q29" s="87"/>
      <c r="R29" s="87"/>
      <c r="S29" s="79"/>
      <c r="T29" s="79"/>
      <c r="U29" s="79"/>
      <c r="V29" s="79"/>
      <c r="W29" s="79"/>
      <c r="X29" s="79"/>
      <c r="Y29" s="80"/>
    </row>
    <row r="30" spans="1:25" s="81" customFormat="1" ht="14" x14ac:dyDescent="0.2">
      <c r="A30" s="63"/>
      <c r="B30" s="73" t="s">
        <v>116</v>
      </c>
      <c r="C30" s="72"/>
      <c r="D30" s="73"/>
      <c r="E30" s="72"/>
      <c r="F30" s="72"/>
      <c r="G30" s="83"/>
      <c r="H30" s="83"/>
      <c r="I30" s="83"/>
      <c r="J30" s="83"/>
      <c r="K30" s="84"/>
      <c r="L30" s="84"/>
      <c r="M30" s="85">
        <v>15780</v>
      </c>
      <c r="N30" s="87"/>
      <c r="O30" s="86"/>
      <c r="P30" s="87"/>
      <c r="Q30" s="87"/>
      <c r="R30" s="87"/>
      <c r="S30" s="79"/>
      <c r="T30" s="79"/>
      <c r="U30" s="79"/>
      <c r="V30" s="79"/>
      <c r="W30" s="79"/>
      <c r="X30" s="79"/>
      <c r="Y30" s="80"/>
    </row>
    <row r="31" spans="1:25" s="81" customFormat="1" ht="14" x14ac:dyDescent="0.2">
      <c r="A31" s="63"/>
      <c r="B31" s="73" t="s">
        <v>117</v>
      </c>
      <c r="C31" s="72"/>
      <c r="D31" s="73"/>
      <c r="E31" s="72"/>
      <c r="F31" s="72"/>
      <c r="G31" s="83"/>
      <c r="H31" s="83"/>
      <c r="I31" s="83"/>
      <c r="J31" s="83"/>
      <c r="K31" s="84"/>
      <c r="L31" s="84"/>
      <c r="M31" s="85"/>
      <c r="N31" s="86">
        <v>15780</v>
      </c>
      <c r="O31" s="86"/>
      <c r="P31" s="87"/>
      <c r="Q31" s="87"/>
      <c r="R31" s="87"/>
      <c r="S31" s="79"/>
      <c r="T31" s="79"/>
      <c r="U31" s="79"/>
      <c r="V31" s="79"/>
      <c r="W31" s="79"/>
      <c r="X31" s="79"/>
      <c r="Y31" s="80"/>
    </row>
    <row r="32" spans="1:25" s="81" customFormat="1" ht="14" x14ac:dyDescent="0.2">
      <c r="B32" s="73" t="s">
        <v>118</v>
      </c>
      <c r="C32" s="72"/>
      <c r="D32" s="73"/>
      <c r="E32" s="72"/>
      <c r="F32" s="72"/>
      <c r="G32" s="83"/>
      <c r="H32" s="83"/>
      <c r="I32" s="83"/>
      <c r="J32" s="83"/>
      <c r="K32" s="84"/>
      <c r="L32" s="84"/>
      <c r="M32" s="85"/>
      <c r="N32" s="86"/>
      <c r="O32" s="86">
        <v>14700</v>
      </c>
      <c r="P32" s="87">
        <v>14100</v>
      </c>
      <c r="Q32" s="87">
        <v>14100</v>
      </c>
      <c r="R32" s="87"/>
      <c r="S32" s="79"/>
      <c r="T32" s="79"/>
      <c r="U32" s="79"/>
      <c r="V32" s="79"/>
      <c r="W32" s="79"/>
      <c r="X32" s="79"/>
      <c r="Y32" s="80"/>
    </row>
    <row r="33" spans="1:25" s="81" customFormat="1" ht="15" x14ac:dyDescent="0.2">
      <c r="B33" s="104" t="s">
        <v>119</v>
      </c>
      <c r="C33" s="95"/>
      <c r="D33" s="71"/>
      <c r="E33" s="95">
        <v>370707</v>
      </c>
      <c r="F33" s="95">
        <v>345547</v>
      </c>
      <c r="G33" s="83">
        <v>331292</v>
      </c>
      <c r="H33" s="66">
        <v>351954</v>
      </c>
      <c r="I33" s="83">
        <v>327088</v>
      </c>
      <c r="J33" s="83">
        <v>330902</v>
      </c>
      <c r="K33" s="84">
        <v>305702</v>
      </c>
      <c r="L33" s="84">
        <v>293263</v>
      </c>
      <c r="M33" s="85"/>
      <c r="N33" s="86"/>
      <c r="O33" s="86"/>
      <c r="P33" s="87"/>
      <c r="Q33" s="87"/>
      <c r="R33" s="87"/>
      <c r="S33" s="79"/>
      <c r="T33" s="79"/>
      <c r="U33" s="79"/>
      <c r="V33" s="79"/>
      <c r="W33" s="79"/>
      <c r="X33" s="79"/>
      <c r="Y33" s="80"/>
    </row>
    <row r="34" spans="1:25" s="81" customFormat="1" ht="14" x14ac:dyDescent="0.2">
      <c r="B34" s="73" t="s">
        <v>120</v>
      </c>
      <c r="C34" s="72"/>
      <c r="D34" s="73"/>
      <c r="E34" s="72"/>
      <c r="F34" s="72"/>
      <c r="G34" s="83"/>
      <c r="H34" s="105"/>
      <c r="I34" s="83">
        <v>26585</v>
      </c>
      <c r="J34" s="83">
        <v>27000</v>
      </c>
      <c r="K34" s="84">
        <v>26584</v>
      </c>
      <c r="L34" s="84">
        <v>26513</v>
      </c>
      <c r="M34" s="85">
        <v>26544</v>
      </c>
      <c r="N34" s="86">
        <v>26544</v>
      </c>
      <c r="O34" s="86">
        <v>26544</v>
      </c>
      <c r="P34" s="87">
        <v>26544</v>
      </c>
      <c r="Q34" s="87">
        <v>26544</v>
      </c>
      <c r="R34" s="87">
        <v>26544</v>
      </c>
      <c r="S34" s="79">
        <v>26544</v>
      </c>
      <c r="T34" s="79">
        <v>26376</v>
      </c>
      <c r="U34" s="79">
        <v>26544</v>
      </c>
      <c r="V34" s="79">
        <v>26544</v>
      </c>
      <c r="W34" s="79">
        <v>26544</v>
      </c>
      <c r="X34" s="79">
        <v>23700</v>
      </c>
      <c r="Y34" s="80"/>
    </row>
    <row r="35" spans="1:25" s="81" customFormat="1" ht="14" x14ac:dyDescent="0.2">
      <c r="B35" s="73" t="s">
        <v>121</v>
      </c>
      <c r="C35" s="72"/>
      <c r="D35" s="73"/>
      <c r="E35" s="72"/>
      <c r="F35" s="72"/>
      <c r="G35" s="83"/>
      <c r="H35" s="83"/>
      <c r="I35" s="83"/>
      <c r="J35" s="83"/>
      <c r="K35" s="84"/>
      <c r="L35" s="84"/>
      <c r="M35" s="85"/>
      <c r="N35" s="86"/>
      <c r="O35" s="86"/>
      <c r="P35" s="87"/>
      <c r="Q35" s="87"/>
      <c r="R35" s="87"/>
      <c r="S35" s="79"/>
      <c r="T35" s="79"/>
      <c r="U35" s="79"/>
      <c r="V35" s="79"/>
      <c r="W35" s="79"/>
      <c r="X35" s="79"/>
      <c r="Y35" s="80"/>
    </row>
    <row r="36" spans="1:25" s="81" customFormat="1" ht="14" x14ac:dyDescent="0.2">
      <c r="B36" s="73" t="s">
        <v>122</v>
      </c>
      <c r="C36" s="95"/>
      <c r="D36" s="71"/>
      <c r="E36" s="95"/>
      <c r="F36" s="95"/>
      <c r="G36" s="96"/>
      <c r="H36" s="83"/>
      <c r="I36" s="83"/>
      <c r="J36" s="83"/>
      <c r="K36" s="84"/>
      <c r="L36" s="84"/>
      <c r="M36" s="85"/>
      <c r="N36" s="86"/>
      <c r="O36" s="86"/>
      <c r="P36" s="87"/>
      <c r="Q36" s="87"/>
      <c r="R36" s="87"/>
      <c r="S36" s="79"/>
      <c r="T36" s="79"/>
      <c r="U36" s="79"/>
      <c r="V36" s="79"/>
      <c r="W36" s="79"/>
      <c r="X36" s="79"/>
      <c r="Y36" s="80"/>
    </row>
    <row r="37" spans="1:25" s="81" customFormat="1" ht="14" x14ac:dyDescent="0.2">
      <c r="B37" s="73" t="s">
        <v>123</v>
      </c>
      <c r="C37" s="95"/>
      <c r="D37" s="71"/>
      <c r="E37" s="95"/>
      <c r="F37" s="95"/>
      <c r="G37" s="96"/>
      <c r="H37" s="83"/>
      <c r="I37" s="83"/>
      <c r="J37" s="83"/>
      <c r="K37" s="84"/>
      <c r="L37" s="84"/>
      <c r="M37" s="85"/>
      <c r="N37" s="86">
        <v>74</v>
      </c>
      <c r="O37" s="86">
        <v>91</v>
      </c>
      <c r="P37" s="87">
        <v>8</v>
      </c>
      <c r="Q37" s="87">
        <v>55</v>
      </c>
      <c r="R37" s="87">
        <v>70</v>
      </c>
      <c r="S37" s="79">
        <v>598.74</v>
      </c>
      <c r="T37" s="79">
        <v>578</v>
      </c>
      <c r="U37" s="79">
        <v>1634.25</v>
      </c>
      <c r="V37" s="79">
        <v>5301</v>
      </c>
      <c r="W37" s="79">
        <v>3650.48</v>
      </c>
      <c r="X37" s="79">
        <v>1882</v>
      </c>
      <c r="Y37" s="80"/>
    </row>
    <row r="38" spans="1:25" s="81" customFormat="1" ht="14" x14ac:dyDescent="0.2">
      <c r="A38" s="89"/>
      <c r="B38" s="71" t="s">
        <v>124</v>
      </c>
      <c r="C38" s="95"/>
      <c r="D38" s="71"/>
      <c r="E38" s="95"/>
      <c r="F38" s="95"/>
      <c r="G38" s="96">
        <v>17200</v>
      </c>
      <c r="H38" s="83">
        <v>19025</v>
      </c>
      <c r="I38" s="83">
        <v>18350</v>
      </c>
      <c r="J38" s="83">
        <v>18625</v>
      </c>
      <c r="K38" s="84">
        <v>18150</v>
      </c>
      <c r="L38" s="84">
        <v>17910</v>
      </c>
      <c r="M38" s="85">
        <v>16179.5</v>
      </c>
      <c r="N38" s="86">
        <v>16710</v>
      </c>
      <c r="O38" s="86">
        <v>17828</v>
      </c>
      <c r="P38" s="87">
        <v>18410</v>
      </c>
      <c r="Q38" s="87">
        <v>19050</v>
      </c>
      <c r="R38" s="87">
        <v>18800</v>
      </c>
      <c r="S38" s="79">
        <v>18990</v>
      </c>
      <c r="T38" s="79">
        <v>19350</v>
      </c>
      <c r="U38" s="79">
        <v>19250</v>
      </c>
      <c r="V38" s="79">
        <v>18105</v>
      </c>
      <c r="W38" s="79">
        <v>20380</v>
      </c>
      <c r="X38" s="79">
        <v>16100</v>
      </c>
      <c r="Y38" s="80"/>
    </row>
    <row r="39" spans="1:25" s="81" customFormat="1" ht="16.5" customHeight="1" x14ac:dyDescent="0.2">
      <c r="A39" s="94"/>
      <c r="B39" s="71" t="s">
        <v>125</v>
      </c>
      <c r="C39" s="95"/>
      <c r="D39" s="71">
        <v>2000</v>
      </c>
      <c r="E39" s="95">
        <v>2000</v>
      </c>
      <c r="F39" s="95">
        <v>2000</v>
      </c>
      <c r="G39" s="96">
        <v>2000</v>
      </c>
      <c r="H39" s="83">
        <v>2000</v>
      </c>
      <c r="I39" s="83"/>
      <c r="J39" s="83">
        <v>2000</v>
      </c>
      <c r="K39" s="84">
        <v>2000</v>
      </c>
      <c r="L39" s="84">
        <v>2000</v>
      </c>
      <c r="M39" s="85">
        <v>2000</v>
      </c>
      <c r="N39" s="86">
        <v>4000</v>
      </c>
      <c r="O39" s="86"/>
      <c r="P39" s="87">
        <v>2000</v>
      </c>
      <c r="Q39" s="87">
        <v>5138</v>
      </c>
      <c r="R39" s="87"/>
      <c r="S39" s="79">
        <v>2556</v>
      </c>
      <c r="T39" s="79">
        <v>2500</v>
      </c>
      <c r="U39" s="79">
        <v>5186.25</v>
      </c>
      <c r="V39" s="79">
        <v>2565</v>
      </c>
      <c r="W39" s="79">
        <v>2587.75</v>
      </c>
      <c r="X39" s="79">
        <v>0</v>
      </c>
      <c r="Y39" s="80"/>
    </row>
    <row r="40" spans="1:25" s="106" customFormat="1" ht="29.25" customHeight="1" thickBot="1" x14ac:dyDescent="0.25">
      <c r="B40" s="107" t="s">
        <v>126</v>
      </c>
      <c r="C40" s="108"/>
      <c r="D40" s="107">
        <v>750</v>
      </c>
      <c r="E40" s="108">
        <v>800</v>
      </c>
      <c r="F40" s="108">
        <v>374</v>
      </c>
      <c r="G40" s="109">
        <v>496</v>
      </c>
      <c r="H40" s="110">
        <f>200+3134</f>
        <v>3334</v>
      </c>
      <c r="I40" s="110">
        <v>6818</v>
      </c>
      <c r="J40" s="110">
        <v>2802</v>
      </c>
      <c r="K40" s="111">
        <v>4584</v>
      </c>
      <c r="L40" s="111">
        <v>4339</v>
      </c>
      <c r="M40" s="112">
        <v>1175</v>
      </c>
      <c r="N40" s="113">
        <v>1850</v>
      </c>
      <c r="O40" s="113">
        <v>7323</v>
      </c>
      <c r="P40" s="114">
        <v>4810</v>
      </c>
      <c r="Q40" s="114">
        <v>675</v>
      </c>
      <c r="R40" s="114">
        <v>1817</v>
      </c>
      <c r="S40" s="115">
        <v>550</v>
      </c>
      <c r="T40" s="115">
        <v>3196</v>
      </c>
      <c r="U40" s="115">
        <v>2034.5</v>
      </c>
      <c r="V40" s="115">
        <v>1915</v>
      </c>
      <c r="W40" s="115">
        <v>11890.75</v>
      </c>
      <c r="X40" s="115">
        <v>1853</v>
      </c>
      <c r="Y40" s="116"/>
    </row>
    <row r="41" spans="1:25" s="117" customFormat="1" ht="24.75" customHeight="1" thickTop="1" thickBot="1" x14ac:dyDescent="0.25">
      <c r="B41" s="118" t="s">
        <v>127</v>
      </c>
      <c r="C41" s="119"/>
      <c r="D41" s="118">
        <f>SUM(D5:D40)</f>
        <v>407990</v>
      </c>
      <c r="E41" s="119">
        <f>SUM(E33:E40)</f>
        <v>373507</v>
      </c>
      <c r="F41" s="119">
        <f>SUM(F7:F40)</f>
        <v>347921</v>
      </c>
      <c r="G41" s="120">
        <f>SUM(G33:G40)</f>
        <v>350988</v>
      </c>
      <c r="H41" s="120">
        <f>SUM(H33,H24,H36,H38,H39)</f>
        <v>372979</v>
      </c>
      <c r="I41" s="120">
        <f>SUM(I33:I40)</f>
        <v>378841</v>
      </c>
      <c r="J41" s="120">
        <f>SUM(J33:J40)</f>
        <v>381329</v>
      </c>
      <c r="K41" s="121">
        <f>SUM(K33:K40)</f>
        <v>357020</v>
      </c>
      <c r="L41" s="122">
        <f>SUM(L9:L40)</f>
        <v>344025</v>
      </c>
      <c r="M41" s="123">
        <f>SUM(M15:M40)</f>
        <v>330742.5</v>
      </c>
      <c r="N41" s="124">
        <f>SUM(N14:N40)</f>
        <v>325370</v>
      </c>
      <c r="O41" s="124">
        <f>SUM(O17:O40)</f>
        <v>319566</v>
      </c>
      <c r="P41" s="124">
        <f>SUM(P17:P40)</f>
        <v>310960</v>
      </c>
      <c r="Q41" s="124">
        <f>SUM(Q19:Q40)</f>
        <v>303117</v>
      </c>
      <c r="R41" s="124">
        <f>SUM(R20:R40)</f>
        <v>278111</v>
      </c>
      <c r="S41" s="124">
        <f t="shared" ref="S41:X41" si="0">SUM(S19:S40)</f>
        <v>265022.74</v>
      </c>
      <c r="T41" s="124">
        <f t="shared" si="0"/>
        <v>260382</v>
      </c>
      <c r="U41" s="124">
        <f t="shared" si="0"/>
        <v>255337</v>
      </c>
      <c r="V41" s="124">
        <f t="shared" si="0"/>
        <v>248902</v>
      </c>
      <c r="W41" s="124">
        <f t="shared" si="0"/>
        <v>254196.98</v>
      </c>
      <c r="X41" s="124">
        <f t="shared" si="0"/>
        <v>227471</v>
      </c>
      <c r="Y41" s="125"/>
    </row>
    <row r="42" spans="1:25" s="126" customFormat="1" ht="14" thickTop="1" x14ac:dyDescent="0.2">
      <c r="B42" s="127"/>
      <c r="C42" s="128"/>
      <c r="D42" s="127"/>
      <c r="E42" s="128"/>
      <c r="F42" s="128"/>
      <c r="G42" s="129"/>
      <c r="H42" s="129"/>
      <c r="I42" s="129"/>
      <c r="J42" s="129"/>
      <c r="K42" s="48"/>
      <c r="L42" s="130"/>
      <c r="M42" s="131"/>
      <c r="N42" s="131"/>
      <c r="O42" s="131"/>
      <c r="P42" s="132"/>
      <c r="Q42" s="132"/>
      <c r="R42" s="132"/>
      <c r="S42" s="132"/>
      <c r="T42" s="132"/>
      <c r="U42" s="132"/>
      <c r="V42" s="132"/>
      <c r="W42" s="132"/>
      <c r="X42" s="132"/>
      <c r="Y42" s="133"/>
    </row>
    <row r="43" spans="1:25" s="63" customFormat="1" ht="17" x14ac:dyDescent="0.2">
      <c r="B43" s="134" t="s">
        <v>128</v>
      </c>
      <c r="C43" s="135"/>
      <c r="D43" s="134"/>
      <c r="E43" s="135"/>
      <c r="F43" s="135"/>
      <c r="G43" s="136"/>
      <c r="H43" s="136"/>
      <c r="I43" s="136"/>
      <c r="J43" s="136"/>
      <c r="K43" s="137"/>
      <c r="L43" s="137"/>
      <c r="M43" s="76"/>
      <c r="N43" s="76"/>
      <c r="O43" s="76"/>
      <c r="P43" s="77" t="s">
        <v>86</v>
      </c>
      <c r="Q43" s="77"/>
      <c r="R43" s="77"/>
      <c r="S43" s="138" t="s">
        <v>86</v>
      </c>
      <c r="T43" s="138" t="s">
        <v>86</v>
      </c>
      <c r="U43" s="138"/>
      <c r="V43" s="79"/>
      <c r="W43" s="79"/>
      <c r="X43" s="79"/>
      <c r="Y43" s="62"/>
    </row>
    <row r="44" spans="1:25" s="63" customFormat="1" x14ac:dyDescent="0.2">
      <c r="B44" s="139"/>
      <c r="C44" s="140"/>
      <c r="D44" s="139"/>
      <c r="E44" s="140"/>
      <c r="F44" s="140"/>
      <c r="G44" s="141"/>
      <c r="H44" s="141"/>
      <c r="I44" s="141"/>
      <c r="J44" s="141"/>
      <c r="K44" s="142"/>
      <c r="L44" s="142"/>
      <c r="M44" s="143"/>
      <c r="N44" s="143"/>
      <c r="O44" s="143"/>
      <c r="P44" s="144"/>
      <c r="Q44" s="144"/>
      <c r="R44" s="144"/>
      <c r="S44" s="138"/>
      <c r="T44" s="138"/>
      <c r="U44" s="138"/>
      <c r="V44" s="79"/>
      <c r="W44" s="79"/>
      <c r="X44" s="79"/>
      <c r="Y44" s="62"/>
    </row>
    <row r="45" spans="1:25" s="63" customFormat="1" ht="14" x14ac:dyDescent="0.2">
      <c r="B45" s="145" t="s">
        <v>129</v>
      </c>
      <c r="C45" s="65"/>
      <c r="D45" s="145"/>
      <c r="E45" s="65"/>
      <c r="F45" s="65"/>
      <c r="G45" s="146"/>
      <c r="H45" s="146"/>
      <c r="I45" s="146"/>
      <c r="J45" s="146"/>
      <c r="K45" s="142"/>
      <c r="L45" s="142"/>
      <c r="M45" s="143"/>
      <c r="N45" s="143"/>
      <c r="O45" s="143"/>
      <c r="P45" s="144"/>
      <c r="Q45" s="144"/>
      <c r="R45" s="144"/>
      <c r="S45" s="138"/>
      <c r="T45" s="138"/>
      <c r="U45" s="138"/>
      <c r="V45" s="79"/>
      <c r="W45" s="79"/>
      <c r="X45" s="79"/>
      <c r="Y45" s="62"/>
    </row>
    <row r="46" spans="1:25" s="81" customFormat="1" ht="14" x14ac:dyDescent="0.2">
      <c r="B46" s="73" t="s">
        <v>130</v>
      </c>
      <c r="C46" s="105"/>
      <c r="D46" s="73">
        <v>110000</v>
      </c>
      <c r="E46" s="72">
        <v>107828</v>
      </c>
      <c r="F46" s="72">
        <v>100145</v>
      </c>
      <c r="G46" s="83">
        <v>88413</v>
      </c>
      <c r="H46" s="83">
        <f>45777.68+43627</f>
        <v>89404.68</v>
      </c>
      <c r="I46" s="83">
        <v>92703</v>
      </c>
      <c r="J46" s="83">
        <v>96344</v>
      </c>
      <c r="K46" s="84">
        <v>84144</v>
      </c>
      <c r="L46" s="84">
        <v>97051</v>
      </c>
      <c r="M46" s="85">
        <v>97906</v>
      </c>
      <c r="N46" s="86">
        <v>91828</v>
      </c>
      <c r="O46" s="86">
        <v>100036</v>
      </c>
      <c r="P46" s="87">
        <v>97948</v>
      </c>
      <c r="Q46" s="87">
        <v>93743</v>
      </c>
      <c r="R46" s="87">
        <v>93515</v>
      </c>
      <c r="S46" s="79">
        <f>41061.6+46289.43</f>
        <v>87351.03</v>
      </c>
      <c r="T46" s="79">
        <v>88413</v>
      </c>
      <c r="U46" s="79">
        <v>79829.509999999995</v>
      </c>
      <c r="V46" s="79">
        <v>80163.100000000006</v>
      </c>
      <c r="W46" s="79">
        <v>70887.13</v>
      </c>
      <c r="X46" s="79">
        <v>68476</v>
      </c>
      <c r="Y46" s="80"/>
    </row>
    <row r="47" spans="1:25" s="81" customFormat="1" ht="14" x14ac:dyDescent="0.2">
      <c r="B47" s="73" t="s">
        <v>131</v>
      </c>
      <c r="C47" s="105"/>
      <c r="D47" s="73">
        <f>D46*0.085</f>
        <v>9350</v>
      </c>
      <c r="E47" s="72">
        <f>6871+1607+1049+140+698</f>
        <v>10365</v>
      </c>
      <c r="F47" s="72">
        <v>8519</v>
      </c>
      <c r="G47" s="83">
        <v>7624</v>
      </c>
      <c r="H47" s="83">
        <v>11354.41</v>
      </c>
      <c r="I47" s="83">
        <v>11664</v>
      </c>
      <c r="J47" s="83">
        <v>12484</v>
      </c>
      <c r="K47" s="84">
        <v>10750</v>
      </c>
      <c r="L47" s="84">
        <v>14339</v>
      </c>
      <c r="M47" s="85">
        <v>13464</v>
      </c>
      <c r="N47" s="86">
        <v>9422</v>
      </c>
      <c r="O47" s="86">
        <v>9496</v>
      </c>
      <c r="P47" s="87">
        <v>10042</v>
      </c>
      <c r="Q47" s="87">
        <v>8490</v>
      </c>
      <c r="R47" s="87">
        <f>4287.47+4951.21</f>
        <v>9238.68</v>
      </c>
      <c r="S47" s="79">
        <f>4293.58+4986.44</f>
        <v>9280.02</v>
      </c>
      <c r="T47" s="79">
        <v>8288</v>
      </c>
      <c r="U47" s="79">
        <v>6805.78</v>
      </c>
      <c r="V47" s="79">
        <v>6991.2</v>
      </c>
      <c r="W47" s="79">
        <v>6436.39</v>
      </c>
      <c r="X47" s="79">
        <v>6179</v>
      </c>
      <c r="Y47" s="80"/>
    </row>
    <row r="48" spans="1:25" s="81" customFormat="1" ht="14" x14ac:dyDescent="0.2">
      <c r="B48" s="73" t="s">
        <v>132</v>
      </c>
      <c r="C48" s="105"/>
      <c r="D48" s="73">
        <v>2800</v>
      </c>
      <c r="E48" s="72">
        <v>3000</v>
      </c>
      <c r="F48" s="72">
        <v>2682</v>
      </c>
      <c r="G48" s="83">
        <v>2166</v>
      </c>
      <c r="H48" s="83">
        <v>3665.67</v>
      </c>
      <c r="I48" s="83"/>
      <c r="J48" s="83">
        <v>1632</v>
      </c>
      <c r="K48" s="84">
        <v>1363</v>
      </c>
      <c r="L48" s="84">
        <v>4000</v>
      </c>
      <c r="M48" s="85">
        <v>1800</v>
      </c>
      <c r="N48" s="86">
        <v>1800</v>
      </c>
      <c r="O48" s="86">
        <v>1800</v>
      </c>
      <c r="P48" s="87">
        <v>1800</v>
      </c>
      <c r="Q48" s="87">
        <v>1800</v>
      </c>
      <c r="R48" s="87">
        <v>1800</v>
      </c>
      <c r="S48" s="79">
        <v>1800</v>
      </c>
      <c r="T48" s="79">
        <v>1800</v>
      </c>
      <c r="U48" s="79">
        <v>1800</v>
      </c>
      <c r="V48" s="79">
        <v>1800</v>
      </c>
      <c r="W48" s="79">
        <v>1800</v>
      </c>
      <c r="X48" s="79">
        <v>1800</v>
      </c>
      <c r="Y48" s="80"/>
    </row>
    <row r="49" spans="2:26" s="81" customFormat="1" ht="14" x14ac:dyDescent="0.2">
      <c r="B49" s="73" t="s">
        <v>133</v>
      </c>
      <c r="C49" s="105"/>
      <c r="D49" s="73">
        <v>1200</v>
      </c>
      <c r="E49" s="72">
        <v>1279</v>
      </c>
      <c r="F49" s="72">
        <v>1195</v>
      </c>
      <c r="G49" s="83">
        <v>1152</v>
      </c>
      <c r="H49" s="83">
        <f>527.63+500</f>
        <v>1027.6300000000001</v>
      </c>
      <c r="I49" s="83">
        <v>1313</v>
      </c>
      <c r="J49" s="83">
        <v>1608</v>
      </c>
      <c r="K49" s="84">
        <v>1268</v>
      </c>
      <c r="L49" s="84">
        <v>895</v>
      </c>
      <c r="M49" s="85">
        <v>1250</v>
      </c>
      <c r="N49" s="86">
        <v>750</v>
      </c>
      <c r="O49" s="86">
        <v>1000</v>
      </c>
      <c r="P49" s="87">
        <v>1000</v>
      </c>
      <c r="Q49" s="87">
        <v>1000</v>
      </c>
      <c r="R49" s="87">
        <v>1000</v>
      </c>
      <c r="S49" s="79">
        <v>1317.36</v>
      </c>
      <c r="T49" s="79">
        <v>1728</v>
      </c>
      <c r="U49" s="79">
        <v>821.88</v>
      </c>
      <c r="V49" s="79">
        <v>789.33</v>
      </c>
      <c r="W49" s="79">
        <v>1016.77</v>
      </c>
      <c r="X49" s="79">
        <v>618</v>
      </c>
      <c r="Y49" s="80"/>
    </row>
    <row r="50" spans="2:26" s="106" customFormat="1" ht="15" thickBot="1" x14ac:dyDescent="0.25">
      <c r="B50" s="147" t="s">
        <v>134</v>
      </c>
      <c r="C50" s="148"/>
      <c r="D50" s="147">
        <v>4000</v>
      </c>
      <c r="E50" s="149">
        <v>3300</v>
      </c>
      <c r="F50" s="150">
        <v>4400</v>
      </c>
      <c r="G50" s="110">
        <v>3066</v>
      </c>
      <c r="H50" s="110">
        <v>-567</v>
      </c>
      <c r="I50" s="110"/>
      <c r="J50" s="110"/>
      <c r="K50" s="111"/>
      <c r="L50" s="151"/>
      <c r="M50" s="112">
        <v>2561</v>
      </c>
      <c r="N50" s="113">
        <v>3916</v>
      </c>
      <c r="O50" s="113">
        <v>3483</v>
      </c>
      <c r="P50" s="114">
        <v>3829</v>
      </c>
      <c r="Q50" s="114">
        <v>3124</v>
      </c>
      <c r="R50" s="114">
        <v>2796.24</v>
      </c>
      <c r="S50" s="115">
        <v>4480.04</v>
      </c>
      <c r="T50" s="115">
        <v>4676</v>
      </c>
      <c r="U50" s="115">
        <v>696.99</v>
      </c>
      <c r="V50" s="115">
        <v>4244.25</v>
      </c>
      <c r="W50" s="115">
        <v>3640</v>
      </c>
      <c r="X50" s="115">
        <v>2917</v>
      </c>
      <c r="Y50" s="116"/>
    </row>
    <row r="51" spans="2:26" s="117" customFormat="1" ht="16" thickTop="1" thickBot="1" x14ac:dyDescent="0.25">
      <c r="B51" s="152" t="s">
        <v>135</v>
      </c>
      <c r="C51" s="153"/>
      <c r="D51" s="152">
        <f t="shared" ref="D51:G51" si="1">SUM(D46:D50)</f>
        <v>127350</v>
      </c>
      <c r="E51" s="154">
        <f t="shared" si="1"/>
        <v>125772</v>
      </c>
      <c r="F51" s="155">
        <f t="shared" si="1"/>
        <v>116941</v>
      </c>
      <c r="G51" s="155">
        <f t="shared" si="1"/>
        <v>102421</v>
      </c>
      <c r="H51" s="155">
        <f>SUM(H46:H50)</f>
        <v>104885.39</v>
      </c>
      <c r="I51" s="155">
        <f>SUM(I46:I50)</f>
        <v>105680</v>
      </c>
      <c r="J51" s="155">
        <f t="shared" ref="J51:X51" si="2">SUM(J46:J50)</f>
        <v>112068</v>
      </c>
      <c r="K51" s="156">
        <f t="shared" si="2"/>
        <v>97525</v>
      </c>
      <c r="L51" s="121">
        <f t="shared" si="2"/>
        <v>116285</v>
      </c>
      <c r="M51" s="123">
        <f t="shared" si="2"/>
        <v>116981</v>
      </c>
      <c r="N51" s="124">
        <f t="shared" si="2"/>
        <v>107716</v>
      </c>
      <c r="O51" s="124">
        <f t="shared" si="2"/>
        <v>115815</v>
      </c>
      <c r="P51" s="124">
        <f t="shared" si="2"/>
        <v>114619</v>
      </c>
      <c r="Q51" s="124">
        <f t="shared" si="2"/>
        <v>108157</v>
      </c>
      <c r="R51" s="124">
        <f t="shared" si="2"/>
        <v>108349.92</v>
      </c>
      <c r="S51" s="124">
        <f>SUM(S46:S50)</f>
        <v>104228.45</v>
      </c>
      <c r="T51" s="124">
        <f>SUM(T46:T50)</f>
        <v>104905</v>
      </c>
      <c r="U51" s="124">
        <f t="shared" si="2"/>
        <v>89954.16</v>
      </c>
      <c r="V51" s="124">
        <f t="shared" si="2"/>
        <v>93987.88</v>
      </c>
      <c r="W51" s="124">
        <f t="shared" si="2"/>
        <v>83780.290000000008</v>
      </c>
      <c r="X51" s="124">
        <f t="shared" si="2"/>
        <v>79990</v>
      </c>
      <c r="Y51" s="125"/>
    </row>
    <row r="52" spans="2:26" s="161" customFormat="1" ht="14" thickTop="1" x14ac:dyDescent="0.2">
      <c r="B52" s="127"/>
      <c r="C52" s="128"/>
      <c r="D52" s="127"/>
      <c r="E52" s="128"/>
      <c r="F52" s="128"/>
      <c r="G52" s="129"/>
      <c r="H52" s="129"/>
      <c r="I52" s="129"/>
      <c r="J52" s="129"/>
      <c r="K52" s="49"/>
      <c r="L52" s="130"/>
      <c r="M52" s="131"/>
      <c r="N52" s="131"/>
      <c r="O52" s="131" t="s">
        <v>86</v>
      </c>
      <c r="P52" s="157"/>
      <c r="Q52" s="157"/>
      <c r="R52" s="157"/>
      <c r="S52" s="158"/>
      <c r="T52" s="158"/>
      <c r="U52" s="158"/>
      <c r="V52" s="159"/>
      <c r="W52" s="159"/>
      <c r="X52" s="159"/>
      <c r="Y52" s="160"/>
    </row>
    <row r="53" spans="2:26" s="63" customFormat="1" ht="14" x14ac:dyDescent="0.2">
      <c r="B53" s="145" t="s">
        <v>136</v>
      </c>
      <c r="C53" s="65"/>
      <c r="D53" s="145"/>
      <c r="E53" s="65"/>
      <c r="F53" s="65"/>
      <c r="G53" s="66"/>
      <c r="H53" s="66"/>
      <c r="I53" s="66"/>
      <c r="J53" s="66"/>
      <c r="K53" s="162"/>
      <c r="L53" s="137"/>
      <c r="M53" s="76"/>
      <c r="N53" s="76"/>
      <c r="O53" s="76"/>
      <c r="P53" s="77"/>
      <c r="Q53" s="77"/>
      <c r="R53" s="77"/>
      <c r="S53" s="138"/>
      <c r="T53" s="138"/>
      <c r="U53" s="138"/>
      <c r="V53" s="79"/>
      <c r="W53" s="79"/>
      <c r="X53" s="79"/>
      <c r="Y53" s="62"/>
    </row>
    <row r="54" spans="2:26" s="81" customFormat="1" ht="14" x14ac:dyDescent="0.2">
      <c r="B54" s="73" t="s">
        <v>137</v>
      </c>
      <c r="C54" s="72"/>
      <c r="D54" s="73"/>
      <c r="E54" s="72">
        <v>396</v>
      </c>
      <c r="F54" s="72">
        <v>63</v>
      </c>
      <c r="G54" s="83"/>
      <c r="H54" s="83">
        <v>0</v>
      </c>
      <c r="I54" s="83">
        <v>60</v>
      </c>
      <c r="J54" s="83">
        <v>73</v>
      </c>
      <c r="K54" s="84">
        <v>103</v>
      </c>
      <c r="L54" s="84">
        <v>851</v>
      </c>
      <c r="M54" s="85">
        <v>576</v>
      </c>
      <c r="N54" s="86">
        <v>131</v>
      </c>
      <c r="O54" s="86"/>
      <c r="P54" s="87">
        <v>243</v>
      </c>
      <c r="Q54" s="87"/>
      <c r="R54" s="87">
        <v>154.76</v>
      </c>
      <c r="S54" s="79"/>
      <c r="T54" s="79">
        <v>1016</v>
      </c>
      <c r="U54" s="79">
        <v>59</v>
      </c>
      <c r="V54" s="79"/>
      <c r="W54" s="79">
        <v>105</v>
      </c>
      <c r="X54" s="79">
        <v>199</v>
      </c>
      <c r="Y54" s="80"/>
    </row>
    <row r="55" spans="2:26" s="81" customFormat="1" ht="14" x14ac:dyDescent="0.2">
      <c r="B55" s="73" t="s">
        <v>138</v>
      </c>
      <c r="C55" s="72"/>
      <c r="D55" s="73">
        <v>1300</v>
      </c>
      <c r="E55" s="72">
        <v>323</v>
      </c>
      <c r="F55" s="72">
        <v>1205</v>
      </c>
      <c r="G55" s="83">
        <v>1108</v>
      </c>
      <c r="H55" s="83">
        <v>1065.0899999999999</v>
      </c>
      <c r="I55" s="83">
        <v>612</v>
      </c>
      <c r="J55" s="83">
        <v>916</v>
      </c>
      <c r="K55" s="84">
        <v>1602</v>
      </c>
      <c r="L55" s="84">
        <v>1214</v>
      </c>
      <c r="M55" s="85">
        <v>869</v>
      </c>
      <c r="N55" s="86">
        <v>622</v>
      </c>
      <c r="O55" s="86">
        <v>1121</v>
      </c>
      <c r="P55" s="87">
        <v>1080</v>
      </c>
      <c r="Q55" s="87">
        <v>1160</v>
      </c>
      <c r="R55" s="87">
        <v>1220.3800000000001</v>
      </c>
      <c r="S55" s="79">
        <v>1716</v>
      </c>
      <c r="T55" s="79">
        <v>1579</v>
      </c>
      <c r="U55" s="79">
        <v>1038.57</v>
      </c>
      <c r="V55" s="79">
        <v>966.16</v>
      </c>
      <c r="W55" s="79">
        <v>1367.34</v>
      </c>
      <c r="X55" s="79">
        <v>569</v>
      </c>
      <c r="Y55" s="80"/>
    </row>
    <row r="56" spans="2:26" s="81" customFormat="1" ht="14" x14ac:dyDescent="0.2">
      <c r="B56" s="73" t="s">
        <v>139</v>
      </c>
      <c r="C56" s="72"/>
      <c r="D56" s="73">
        <v>5000</v>
      </c>
      <c r="E56" s="72">
        <v>4240</v>
      </c>
      <c r="F56" s="72">
        <v>1923</v>
      </c>
      <c r="G56" s="83">
        <v>9064</v>
      </c>
      <c r="H56" s="83">
        <v>11344.07</v>
      </c>
      <c r="I56" s="83">
        <v>4049</v>
      </c>
      <c r="J56" s="83">
        <v>3534</v>
      </c>
      <c r="K56" s="84">
        <v>3703</v>
      </c>
      <c r="L56" s="84">
        <v>7314</v>
      </c>
      <c r="M56" s="85">
        <v>8613</v>
      </c>
      <c r="N56" s="86">
        <v>9241</v>
      </c>
      <c r="O56" s="86">
        <v>5008</v>
      </c>
      <c r="P56" s="87">
        <v>6037</v>
      </c>
      <c r="Q56" s="87">
        <v>8953</v>
      </c>
      <c r="R56" s="87">
        <f>4429.69+1009.12</f>
        <v>5438.8099999999995</v>
      </c>
      <c r="S56" s="79">
        <v>7973</v>
      </c>
      <c r="T56" s="79">
        <v>4942</v>
      </c>
      <c r="U56" s="79">
        <v>4081.92</v>
      </c>
      <c r="V56" s="79">
        <v>3485.55</v>
      </c>
      <c r="W56" s="79">
        <v>4382.34</v>
      </c>
      <c r="X56" s="79">
        <v>4137</v>
      </c>
      <c r="Y56" s="80"/>
    </row>
    <row r="57" spans="2:26" s="81" customFormat="1" ht="14" x14ac:dyDescent="0.2">
      <c r="B57" s="73" t="s">
        <v>140</v>
      </c>
      <c r="C57" s="72"/>
      <c r="D57" s="73">
        <v>3000</v>
      </c>
      <c r="E57" s="72">
        <f>1575</f>
        <v>1575</v>
      </c>
      <c r="F57" s="72">
        <v>2263</v>
      </c>
      <c r="G57" s="83">
        <v>6949</v>
      </c>
      <c r="H57" s="83">
        <v>1625</v>
      </c>
      <c r="I57" s="83">
        <v>13230</v>
      </c>
      <c r="J57" s="83">
        <v>21102</v>
      </c>
      <c r="K57" s="84">
        <v>7458</v>
      </c>
      <c r="L57" s="84">
        <v>29841</v>
      </c>
      <c r="M57" s="85">
        <v>14292</v>
      </c>
      <c r="N57" s="86">
        <v>2256</v>
      </c>
      <c r="O57" s="86">
        <v>2126</v>
      </c>
      <c r="P57" s="87">
        <v>14492</v>
      </c>
      <c r="Q57" s="87">
        <v>10881</v>
      </c>
      <c r="R57" s="87">
        <v>6704.02</v>
      </c>
      <c r="S57" s="79">
        <v>10029.32</v>
      </c>
      <c r="T57" s="79">
        <v>13563</v>
      </c>
      <c r="U57" s="79">
        <v>914.68</v>
      </c>
      <c r="V57" s="79">
        <v>11854.8</v>
      </c>
      <c r="W57" s="79">
        <v>750</v>
      </c>
      <c r="X57" s="79">
        <v>701</v>
      </c>
      <c r="Y57" s="80"/>
      <c r="Z57" s="81">
        <f t="shared" ref="Z57:Z65" si="3">AVERAGE(L57:R57)</f>
        <v>11513.145714285714</v>
      </c>
    </row>
    <row r="58" spans="2:26" s="81" customFormat="1" ht="14" x14ac:dyDescent="0.2">
      <c r="B58" s="73" t="s">
        <v>141</v>
      </c>
      <c r="C58" s="72"/>
      <c r="D58" s="73">
        <v>24000</v>
      </c>
      <c r="E58" s="72">
        <v>24340</v>
      </c>
      <c r="F58" s="72">
        <v>21171</v>
      </c>
      <c r="G58" s="83">
        <v>24159</v>
      </c>
      <c r="H58" s="83">
        <v>24672.55</v>
      </c>
      <c r="I58" s="83">
        <v>13441</v>
      </c>
      <c r="J58" s="83">
        <v>21765</v>
      </c>
      <c r="K58" s="84">
        <v>19296</v>
      </c>
      <c r="L58" s="84">
        <v>14487</v>
      </c>
      <c r="M58" s="85">
        <v>17399</v>
      </c>
      <c r="N58" s="86">
        <v>14765</v>
      </c>
      <c r="O58" s="86">
        <v>21101</v>
      </c>
      <c r="P58" s="87">
        <v>10501</v>
      </c>
      <c r="Q58" s="87">
        <v>16668</v>
      </c>
      <c r="R58" s="87">
        <v>14612</v>
      </c>
      <c r="S58" s="79">
        <v>11416</v>
      </c>
      <c r="T58" s="79">
        <v>10282</v>
      </c>
      <c r="U58" s="79">
        <f>22174.89+106.36</f>
        <v>22281.25</v>
      </c>
      <c r="V58" s="79">
        <v>13019.96</v>
      </c>
      <c r="W58" s="79">
        <v>31583.29</v>
      </c>
      <c r="X58" s="79">
        <v>15389</v>
      </c>
      <c r="Y58" s="80"/>
      <c r="Z58" s="81">
        <f t="shared" si="3"/>
        <v>15647.571428571429</v>
      </c>
    </row>
    <row r="59" spans="2:26" s="81" customFormat="1" ht="14" x14ac:dyDescent="0.2">
      <c r="B59" s="73" t="s">
        <v>142</v>
      </c>
      <c r="C59" s="72"/>
      <c r="D59" s="73"/>
      <c r="E59" s="72">
        <v>185</v>
      </c>
      <c r="F59" s="72">
        <v>2248</v>
      </c>
      <c r="G59" s="83">
        <v>0</v>
      </c>
      <c r="H59" s="83">
        <v>0</v>
      </c>
      <c r="I59" s="83">
        <v>21</v>
      </c>
      <c r="J59" s="83">
        <v>0</v>
      </c>
      <c r="K59" s="84">
        <v>2189</v>
      </c>
      <c r="L59" s="84">
        <v>160</v>
      </c>
      <c r="M59" s="85">
        <v>2281</v>
      </c>
      <c r="N59" s="86">
        <v>6608</v>
      </c>
      <c r="O59" s="86">
        <v>1624</v>
      </c>
      <c r="P59" s="87">
        <v>1481</v>
      </c>
      <c r="Q59" s="87">
        <v>5246</v>
      </c>
      <c r="R59" s="87">
        <v>7639.08</v>
      </c>
      <c r="S59" s="79">
        <v>330.64</v>
      </c>
      <c r="T59" s="79">
        <v>2014</v>
      </c>
      <c r="U59" s="79">
        <v>907.43</v>
      </c>
      <c r="V59" s="79">
        <v>3940.82</v>
      </c>
      <c r="W59" s="79">
        <v>2049.67</v>
      </c>
      <c r="X59" s="79">
        <v>8</v>
      </c>
      <c r="Y59" s="80"/>
      <c r="Z59" s="81">
        <f t="shared" si="3"/>
        <v>3577.011428571429</v>
      </c>
    </row>
    <row r="60" spans="2:26" s="81" customFormat="1" ht="14" x14ac:dyDescent="0.2">
      <c r="B60" s="73" t="s">
        <v>143</v>
      </c>
      <c r="C60" s="72"/>
      <c r="D60" s="73">
        <v>2000</v>
      </c>
      <c r="E60" s="72">
        <v>1291</v>
      </c>
      <c r="F60" s="72">
        <v>912</v>
      </c>
      <c r="G60" s="83">
        <v>1673</v>
      </c>
      <c r="H60" s="83">
        <v>1681.99</v>
      </c>
      <c r="I60" s="83">
        <v>196</v>
      </c>
      <c r="J60" s="83">
        <v>1778</v>
      </c>
      <c r="K60" s="84">
        <v>792</v>
      </c>
      <c r="L60" s="84">
        <v>429</v>
      </c>
      <c r="M60" s="85">
        <v>576</v>
      </c>
      <c r="N60" s="86">
        <v>2610</v>
      </c>
      <c r="O60" s="86">
        <v>3383</v>
      </c>
      <c r="P60" s="87">
        <v>4218</v>
      </c>
      <c r="Q60" s="87">
        <v>3150</v>
      </c>
      <c r="R60" s="87">
        <v>4699.49</v>
      </c>
      <c r="S60" s="79">
        <v>3106</v>
      </c>
      <c r="T60" s="79">
        <v>7029</v>
      </c>
      <c r="U60" s="79">
        <v>4341.33</v>
      </c>
      <c r="V60" s="79">
        <v>1999.22</v>
      </c>
      <c r="W60" s="79">
        <v>2668.24</v>
      </c>
      <c r="X60" s="79">
        <v>2039</v>
      </c>
      <c r="Y60" s="80"/>
      <c r="Z60" s="81">
        <f t="shared" si="3"/>
        <v>2723.6414285714282</v>
      </c>
    </row>
    <row r="61" spans="2:26" s="81" customFormat="1" ht="14" x14ac:dyDescent="0.2">
      <c r="B61" s="73" t="s">
        <v>144</v>
      </c>
      <c r="C61" s="72"/>
      <c r="D61" s="73">
        <v>3000</v>
      </c>
      <c r="E61" s="72">
        <v>2368</v>
      </c>
      <c r="F61" s="72">
        <v>6109</v>
      </c>
      <c r="G61" s="83">
        <v>5404</v>
      </c>
      <c r="H61" s="83">
        <v>2699.26</v>
      </c>
      <c r="I61" s="83">
        <v>1818</v>
      </c>
      <c r="J61" s="83">
        <v>145</v>
      </c>
      <c r="K61" s="84">
        <v>3128</v>
      </c>
      <c r="L61" s="84">
        <v>999</v>
      </c>
      <c r="M61" s="85" t="s">
        <v>145</v>
      </c>
      <c r="N61" s="86"/>
      <c r="O61" s="86">
        <v>1607</v>
      </c>
      <c r="P61" s="87">
        <v>391</v>
      </c>
      <c r="Q61" s="87">
        <v>1732</v>
      </c>
      <c r="R61" s="87">
        <v>806.47</v>
      </c>
      <c r="S61" s="79">
        <v>838</v>
      </c>
      <c r="T61" s="79">
        <v>536</v>
      </c>
      <c r="U61" s="79">
        <v>1040.1099999999999</v>
      </c>
      <c r="V61" s="79">
        <v>524.35</v>
      </c>
      <c r="W61" s="79">
        <v>1560.1</v>
      </c>
      <c r="X61" s="79">
        <v>3216</v>
      </c>
      <c r="Y61" s="80"/>
      <c r="Z61" s="81">
        <f t="shared" si="3"/>
        <v>1107.0940000000001</v>
      </c>
    </row>
    <row r="62" spans="2:26" s="81" customFormat="1" ht="14" x14ac:dyDescent="0.2">
      <c r="B62" s="73" t="s">
        <v>146</v>
      </c>
      <c r="C62" s="72"/>
      <c r="D62" s="73">
        <v>10000</v>
      </c>
      <c r="E62" s="72">
        <v>8293</v>
      </c>
      <c r="F62" s="72">
        <v>5234</v>
      </c>
      <c r="G62" s="83">
        <v>16159</v>
      </c>
      <c r="H62" s="83">
        <v>7889.24</v>
      </c>
      <c r="I62" s="83">
        <v>8663</v>
      </c>
      <c r="J62" s="83">
        <v>16772</v>
      </c>
      <c r="K62" s="84">
        <v>21390</v>
      </c>
      <c r="L62" s="84">
        <v>23759</v>
      </c>
      <c r="M62" s="85">
        <v>3109</v>
      </c>
      <c r="N62" s="86">
        <v>1998</v>
      </c>
      <c r="O62" s="86">
        <v>1114</v>
      </c>
      <c r="P62" s="87">
        <v>12337</v>
      </c>
      <c r="Q62" s="87">
        <v>4738</v>
      </c>
      <c r="R62" s="87">
        <v>12548</v>
      </c>
      <c r="S62" s="79">
        <v>6527</v>
      </c>
      <c r="T62" s="79">
        <v>3528</v>
      </c>
      <c r="U62" s="79">
        <f>6214.88+1155.07</f>
        <v>7369.95</v>
      </c>
      <c r="V62" s="79">
        <v>2605.3000000000002</v>
      </c>
      <c r="W62" s="79">
        <v>6178.87</v>
      </c>
      <c r="X62" s="79">
        <v>1753</v>
      </c>
      <c r="Y62" s="80"/>
      <c r="Z62" s="81">
        <f t="shared" si="3"/>
        <v>8514.7142857142862</v>
      </c>
    </row>
    <row r="63" spans="2:26" s="81" customFormat="1" ht="14" x14ac:dyDescent="0.2">
      <c r="B63" s="73" t="s">
        <v>147</v>
      </c>
      <c r="C63" s="72"/>
      <c r="D63" s="73">
        <v>500</v>
      </c>
      <c r="E63" s="72"/>
      <c r="F63" s="72">
        <v>-140</v>
      </c>
      <c r="G63" s="83">
        <f>275+821</f>
        <v>1096</v>
      </c>
      <c r="H63" s="83">
        <v>0</v>
      </c>
      <c r="I63" s="83">
        <v>-300</v>
      </c>
      <c r="J63" s="83">
        <v>812</v>
      </c>
      <c r="K63" s="84">
        <v>75</v>
      </c>
      <c r="L63" s="84">
        <v>1727</v>
      </c>
      <c r="M63" s="85"/>
      <c r="N63" s="86"/>
      <c r="O63" s="86">
        <v>2002</v>
      </c>
      <c r="P63" s="87"/>
      <c r="Q63" s="87">
        <v>2776</v>
      </c>
      <c r="R63" s="87">
        <v>978</v>
      </c>
      <c r="S63" s="79"/>
      <c r="T63" s="79">
        <v>697</v>
      </c>
      <c r="U63" s="79">
        <v>5079.38</v>
      </c>
      <c r="V63" s="79"/>
      <c r="W63" s="79">
        <v>3322</v>
      </c>
      <c r="X63" s="79">
        <v>298</v>
      </c>
      <c r="Y63" s="80"/>
      <c r="Z63" s="81">
        <f t="shared" si="3"/>
        <v>1870.75</v>
      </c>
    </row>
    <row r="64" spans="2:26" s="81" customFormat="1" ht="14" x14ac:dyDescent="0.2">
      <c r="B64" s="73" t="s">
        <v>148</v>
      </c>
      <c r="C64" s="72"/>
      <c r="D64" s="73"/>
      <c r="E64" s="72">
        <v>5352</v>
      </c>
      <c r="F64" s="72">
        <v>1500</v>
      </c>
      <c r="G64" s="83">
        <v>4016</v>
      </c>
      <c r="H64" s="83">
        <v>0</v>
      </c>
      <c r="I64" s="83">
        <v>1390</v>
      </c>
      <c r="J64" s="83">
        <v>4563</v>
      </c>
      <c r="K64" s="84"/>
      <c r="L64" s="84">
        <v>2619</v>
      </c>
      <c r="M64" s="85">
        <v>76</v>
      </c>
      <c r="N64" s="86">
        <v>1750</v>
      </c>
      <c r="O64" s="86"/>
      <c r="P64" s="87">
        <v>1535</v>
      </c>
      <c r="Q64" s="87"/>
      <c r="R64" s="87"/>
      <c r="S64" s="79">
        <v>1855.61</v>
      </c>
      <c r="T64" s="79"/>
      <c r="U64" s="79">
        <v>934.77</v>
      </c>
      <c r="V64" s="79">
        <v>188.39</v>
      </c>
      <c r="W64" s="79">
        <v>215.07</v>
      </c>
      <c r="X64" s="79">
        <v>5343</v>
      </c>
      <c r="Y64" s="80"/>
      <c r="Z64" s="81">
        <f t="shared" si="3"/>
        <v>1495</v>
      </c>
    </row>
    <row r="65" spans="1:32" s="106" customFormat="1" ht="15" thickBot="1" x14ac:dyDescent="0.25">
      <c r="B65" s="147" t="s">
        <v>149</v>
      </c>
      <c r="C65" s="150"/>
      <c r="D65" s="147">
        <v>7000</v>
      </c>
      <c r="E65" s="150">
        <v>3837</v>
      </c>
      <c r="F65" s="150">
        <v>5026</v>
      </c>
      <c r="G65" s="163">
        <v>11843</v>
      </c>
      <c r="H65" s="163">
        <v>4250</v>
      </c>
      <c r="I65" s="163">
        <v>5404</v>
      </c>
      <c r="J65" s="163">
        <v>7325</v>
      </c>
      <c r="K65" s="151">
        <v>6920</v>
      </c>
      <c r="L65" s="111">
        <v>8490</v>
      </c>
      <c r="M65" s="112">
        <v>0</v>
      </c>
      <c r="N65" s="113">
        <v>6086</v>
      </c>
      <c r="O65" s="113">
        <v>6130</v>
      </c>
      <c r="P65" s="114">
        <v>1320</v>
      </c>
      <c r="Q65" s="114">
        <v>10065</v>
      </c>
      <c r="R65" s="114">
        <v>8085</v>
      </c>
      <c r="S65" s="115">
        <v>5150.05</v>
      </c>
      <c r="T65" s="115">
        <v>10381</v>
      </c>
      <c r="U65" s="115">
        <v>19265.84</v>
      </c>
      <c r="V65" s="115">
        <v>2285</v>
      </c>
      <c r="W65" s="115">
        <v>2933.37</v>
      </c>
      <c r="X65" s="115">
        <v>0</v>
      </c>
      <c r="Y65" s="116"/>
      <c r="Z65" s="106">
        <f t="shared" si="3"/>
        <v>5739.4285714285716</v>
      </c>
    </row>
    <row r="66" spans="1:32" s="117" customFormat="1" ht="25.5" customHeight="1" thickTop="1" thickBot="1" x14ac:dyDescent="0.25">
      <c r="B66" s="152" t="s">
        <v>150</v>
      </c>
      <c r="C66" s="154"/>
      <c r="D66" s="152">
        <f>SUM(D55:D65)</f>
        <v>55800</v>
      </c>
      <c r="E66" s="154">
        <f>SUM(E54:E65)</f>
        <v>52200</v>
      </c>
      <c r="F66" s="155">
        <f t="shared" ref="F66:P66" si="4">SUM(F54:F65)</f>
        <v>47514</v>
      </c>
      <c r="G66" s="155">
        <f t="shared" si="4"/>
        <v>81471</v>
      </c>
      <c r="H66" s="155">
        <f t="shared" si="4"/>
        <v>55227.199999999997</v>
      </c>
      <c r="I66" s="155">
        <f t="shared" si="4"/>
        <v>48584</v>
      </c>
      <c r="J66" s="155">
        <f t="shared" si="4"/>
        <v>78785</v>
      </c>
      <c r="K66" s="164">
        <f t="shared" si="4"/>
        <v>66656</v>
      </c>
      <c r="L66" s="121">
        <f t="shared" si="4"/>
        <v>91890</v>
      </c>
      <c r="M66" s="123">
        <f>SUM(M54:M65)</f>
        <v>47791</v>
      </c>
      <c r="N66" s="124">
        <f>SUM(N54:N65)</f>
        <v>46067</v>
      </c>
      <c r="O66" s="124">
        <f t="shared" si="4"/>
        <v>45216</v>
      </c>
      <c r="P66" s="124">
        <f t="shared" si="4"/>
        <v>53635</v>
      </c>
      <c r="Q66" s="124">
        <f>SUM(Q54:Q65)</f>
        <v>65369</v>
      </c>
      <c r="R66" s="124">
        <f t="shared" ref="R66:X66" si="5">SUM(R54:R65)</f>
        <v>62886.01</v>
      </c>
      <c r="S66" s="124">
        <f>SUM(S54:S65)</f>
        <v>48941.62</v>
      </c>
      <c r="T66" s="124">
        <f>SUM(T54:T65)</f>
        <v>55567</v>
      </c>
      <c r="U66" s="124">
        <f t="shared" si="5"/>
        <v>67314.23</v>
      </c>
      <c r="V66" s="124">
        <f t="shared" si="5"/>
        <v>40869.550000000003</v>
      </c>
      <c r="W66" s="124">
        <f t="shared" si="5"/>
        <v>57115.29</v>
      </c>
      <c r="X66" s="124">
        <f t="shared" si="5"/>
        <v>33652</v>
      </c>
      <c r="Y66" s="125"/>
    </row>
    <row r="67" spans="1:32" s="161" customFormat="1" ht="14" thickTop="1" x14ac:dyDescent="0.2">
      <c r="A67" s="165"/>
      <c r="B67" s="166"/>
      <c r="C67" s="167"/>
      <c r="D67" s="166"/>
      <c r="E67" s="167"/>
      <c r="F67" s="167"/>
      <c r="G67" s="168"/>
      <c r="H67" s="168"/>
      <c r="I67" s="168"/>
      <c r="J67" s="168"/>
      <c r="K67" s="49"/>
      <c r="L67" s="168"/>
      <c r="M67" s="132"/>
      <c r="N67" s="132"/>
      <c r="O67" s="131"/>
      <c r="P67" s="157" t="s">
        <v>86</v>
      </c>
      <c r="Q67" s="157"/>
      <c r="R67" s="157"/>
      <c r="S67" s="158"/>
      <c r="T67" s="158"/>
      <c r="U67" s="158"/>
      <c r="V67" s="158"/>
      <c r="W67" s="158"/>
      <c r="X67" s="158"/>
      <c r="Y67" s="160"/>
    </row>
    <row r="68" spans="1:32" s="63" customFormat="1" ht="14" x14ac:dyDescent="0.2">
      <c r="B68" s="145" t="s">
        <v>151</v>
      </c>
      <c r="C68" s="65"/>
      <c r="D68" s="145"/>
      <c r="E68" s="65"/>
      <c r="F68" s="65"/>
      <c r="G68" s="66"/>
      <c r="H68" s="66"/>
      <c r="I68" s="66"/>
      <c r="J68" s="66"/>
      <c r="K68" s="162"/>
      <c r="L68" s="137"/>
      <c r="M68" s="76"/>
      <c r="N68" s="76"/>
      <c r="O68" s="76"/>
      <c r="P68" s="77"/>
      <c r="Q68" s="77"/>
      <c r="R68" s="77"/>
      <c r="S68" s="138"/>
      <c r="T68" s="138"/>
      <c r="U68" s="138"/>
      <c r="V68" s="79"/>
      <c r="W68" s="79"/>
      <c r="X68" s="79"/>
      <c r="Y68" s="62"/>
    </row>
    <row r="69" spans="1:32" s="81" customFormat="1" ht="14" x14ac:dyDescent="0.2">
      <c r="B69" s="73" t="s">
        <v>152</v>
      </c>
      <c r="C69" s="72"/>
      <c r="D69" s="73">
        <v>6000</v>
      </c>
      <c r="E69" s="72">
        <v>6539</v>
      </c>
      <c r="F69" s="72">
        <v>5048</v>
      </c>
      <c r="G69" s="83">
        <v>6208</v>
      </c>
      <c r="H69" s="83">
        <v>5447.76</v>
      </c>
      <c r="I69" s="83">
        <v>5920</v>
      </c>
      <c r="J69" s="83">
        <v>6419</v>
      </c>
      <c r="K69" s="84">
        <v>5009</v>
      </c>
      <c r="L69" s="84">
        <v>5919</v>
      </c>
      <c r="M69" s="85">
        <v>6456</v>
      </c>
      <c r="N69" s="86">
        <v>7995</v>
      </c>
      <c r="O69" s="86">
        <v>8812</v>
      </c>
      <c r="P69" s="88">
        <v>5297</v>
      </c>
      <c r="Q69" s="88">
        <v>8237</v>
      </c>
      <c r="R69" s="87">
        <v>8570.02</v>
      </c>
      <c r="S69" s="88">
        <v>8699.17</v>
      </c>
      <c r="T69" s="88">
        <v>8567</v>
      </c>
      <c r="U69" s="88">
        <v>6644.33</v>
      </c>
      <c r="V69" s="88">
        <v>5200.2700000000004</v>
      </c>
      <c r="W69" s="88">
        <v>4099.6400000000003</v>
      </c>
      <c r="X69" s="88">
        <v>4585</v>
      </c>
      <c r="Y69" s="169">
        <f t="shared" ref="Y69:Y74" si="6">AVERAGE(L69,M69,N69,O69,P69,Q69,R69)</f>
        <v>7326.5742857142859</v>
      </c>
      <c r="Z69" s="170">
        <f>AVERAGE(L69+M69+N69+O69+P69+Q69+R69)</f>
        <v>51286.020000000004</v>
      </c>
      <c r="AA69" s="170"/>
    </row>
    <row r="70" spans="1:32" s="81" customFormat="1" ht="14" x14ac:dyDescent="0.2">
      <c r="B70" s="73" t="s">
        <v>153</v>
      </c>
      <c r="C70" s="72"/>
      <c r="D70" s="73">
        <v>30000</v>
      </c>
      <c r="E70" s="72">
        <v>27310</v>
      </c>
      <c r="F70" s="72">
        <v>27220</v>
      </c>
      <c r="G70" s="83">
        <v>26649</v>
      </c>
      <c r="H70" s="83">
        <v>28994.799999999999</v>
      </c>
      <c r="I70" s="83">
        <v>25419</v>
      </c>
      <c r="J70" s="83">
        <v>25471</v>
      </c>
      <c r="K70" s="84">
        <v>26991</v>
      </c>
      <c r="L70" s="84">
        <v>28199</v>
      </c>
      <c r="M70" s="85">
        <v>29500</v>
      </c>
      <c r="N70" s="86">
        <v>26690</v>
      </c>
      <c r="O70" s="86">
        <v>26724</v>
      </c>
      <c r="P70" s="88">
        <v>25572</v>
      </c>
      <c r="Q70" s="88">
        <v>24626</v>
      </c>
      <c r="R70" s="87">
        <v>23633.69</v>
      </c>
      <c r="S70" s="88">
        <v>22965.67</v>
      </c>
      <c r="T70" s="88">
        <v>20354</v>
      </c>
      <c r="U70" s="88">
        <v>20470.759999999998</v>
      </c>
      <c r="V70" s="88">
        <v>21778.84</v>
      </c>
      <c r="W70" s="88">
        <v>18979.060000000001</v>
      </c>
      <c r="X70" s="88">
        <v>16418</v>
      </c>
      <c r="Y70" s="169">
        <f t="shared" si="6"/>
        <v>26420.670000000002</v>
      </c>
      <c r="Z70" s="170">
        <f t="shared" ref="Z70:Z75" si="7">AVERAGE(L70:R70)</f>
        <v>26420.670000000002</v>
      </c>
      <c r="AA70" s="170"/>
      <c r="AB70" s="81" t="s">
        <v>86</v>
      </c>
      <c r="AC70" s="81" t="s">
        <v>86</v>
      </c>
      <c r="AD70" s="81" t="s">
        <v>86</v>
      </c>
      <c r="AE70" s="81" t="s">
        <v>86</v>
      </c>
      <c r="AF70" s="81" t="s">
        <v>86</v>
      </c>
    </row>
    <row r="71" spans="1:32" s="81" customFormat="1" ht="14" x14ac:dyDescent="0.2">
      <c r="B71" s="73" t="s">
        <v>154</v>
      </c>
      <c r="C71" s="72"/>
      <c r="D71" s="73">
        <v>2000</v>
      </c>
      <c r="E71" s="72">
        <v>2174</v>
      </c>
      <c r="F71" s="72">
        <v>2222</v>
      </c>
      <c r="G71" s="83">
        <v>1472</v>
      </c>
      <c r="H71" s="83">
        <v>725.72</v>
      </c>
      <c r="I71" s="83">
        <v>1794</v>
      </c>
      <c r="J71" s="83">
        <v>1281</v>
      </c>
      <c r="K71" s="84">
        <v>777</v>
      </c>
      <c r="L71" s="84">
        <v>1570</v>
      </c>
      <c r="M71" s="85">
        <v>2366</v>
      </c>
      <c r="N71" s="86">
        <v>2205</v>
      </c>
      <c r="O71" s="86">
        <v>1619</v>
      </c>
      <c r="P71" s="88">
        <v>1981</v>
      </c>
      <c r="Q71" s="88">
        <v>2150</v>
      </c>
      <c r="R71" s="87">
        <v>3249.3</v>
      </c>
      <c r="S71" s="88">
        <v>2834.58</v>
      </c>
      <c r="T71" s="88">
        <v>2794</v>
      </c>
      <c r="U71" s="88">
        <v>3076.97</v>
      </c>
      <c r="V71" s="88">
        <v>3685.39</v>
      </c>
      <c r="W71" s="88">
        <v>3789.34</v>
      </c>
      <c r="X71" s="88">
        <v>3737</v>
      </c>
      <c r="Y71" s="169">
        <f t="shared" si="6"/>
        <v>2162.9</v>
      </c>
      <c r="Z71" s="170">
        <f t="shared" si="7"/>
        <v>2162.9</v>
      </c>
      <c r="AA71" s="170"/>
    </row>
    <row r="72" spans="1:32" s="81" customFormat="1" ht="14" x14ac:dyDescent="0.2">
      <c r="B72" s="73" t="s">
        <v>155</v>
      </c>
      <c r="C72" s="72"/>
      <c r="D72" s="73">
        <v>50000</v>
      </c>
      <c r="E72" s="72">
        <v>53728</v>
      </c>
      <c r="F72" s="72">
        <v>47983</v>
      </c>
      <c r="G72" s="83">
        <v>42188</v>
      </c>
      <c r="H72" s="83">
        <v>42263.14</v>
      </c>
      <c r="I72" s="83">
        <v>40781</v>
      </c>
      <c r="J72" s="83">
        <v>40990</v>
      </c>
      <c r="K72" s="84">
        <v>41647</v>
      </c>
      <c r="L72" s="84">
        <v>42784</v>
      </c>
      <c r="M72" s="85">
        <v>38000</v>
      </c>
      <c r="N72" s="86">
        <v>42422</v>
      </c>
      <c r="O72" s="86">
        <v>41504</v>
      </c>
      <c r="P72" s="88">
        <v>35489</v>
      </c>
      <c r="Q72" s="88">
        <v>35092</v>
      </c>
      <c r="R72" s="87">
        <v>32492.080000000002</v>
      </c>
      <c r="S72" s="88">
        <v>29801.88</v>
      </c>
      <c r="T72" s="88">
        <v>29158</v>
      </c>
      <c r="U72" s="88">
        <v>27728.71</v>
      </c>
      <c r="V72" s="88">
        <v>26875.599999999999</v>
      </c>
      <c r="W72" s="88">
        <v>22800.19</v>
      </c>
      <c r="X72" s="88">
        <v>19674</v>
      </c>
      <c r="Y72" s="169">
        <f t="shared" si="6"/>
        <v>38254.72571428572</v>
      </c>
      <c r="Z72" s="170">
        <f t="shared" si="7"/>
        <v>38254.72571428572</v>
      </c>
      <c r="AA72" s="170"/>
    </row>
    <row r="73" spans="1:32" s="81" customFormat="1" ht="14" x14ac:dyDescent="0.2">
      <c r="B73" s="73" t="s">
        <v>156</v>
      </c>
      <c r="C73" s="72"/>
      <c r="D73" s="73">
        <v>5000</v>
      </c>
      <c r="E73" s="72">
        <v>4689</v>
      </c>
      <c r="F73" s="72">
        <v>4482</v>
      </c>
      <c r="G73" s="83">
        <v>4239</v>
      </c>
      <c r="H73" s="83">
        <v>4185.76</v>
      </c>
      <c r="I73" s="83">
        <v>3577</v>
      </c>
      <c r="J73" s="83">
        <v>3088</v>
      </c>
      <c r="K73" s="84">
        <v>3259</v>
      </c>
      <c r="L73" s="84">
        <v>2877</v>
      </c>
      <c r="M73" s="85">
        <v>4380</v>
      </c>
      <c r="N73" s="86">
        <v>2785</v>
      </c>
      <c r="O73" s="86">
        <v>2679</v>
      </c>
      <c r="P73" s="88">
        <v>2496</v>
      </c>
      <c r="Q73" s="88">
        <v>2723</v>
      </c>
      <c r="R73" s="87">
        <v>2664.74</v>
      </c>
      <c r="S73" s="88">
        <v>2789.35</v>
      </c>
      <c r="T73" s="88">
        <v>2875</v>
      </c>
      <c r="U73" s="88">
        <v>2110.92</v>
      </c>
      <c r="V73" s="88">
        <v>2871.75</v>
      </c>
      <c r="W73" s="88">
        <v>2385.5700000000002</v>
      </c>
      <c r="X73" s="88">
        <v>2178</v>
      </c>
      <c r="Y73" s="169">
        <f t="shared" si="6"/>
        <v>2943.5342857142855</v>
      </c>
      <c r="Z73" s="170">
        <f t="shared" si="7"/>
        <v>2943.5342857142855</v>
      </c>
      <c r="AA73" s="170"/>
    </row>
    <row r="74" spans="1:32" s="81" customFormat="1" ht="14" x14ac:dyDescent="0.2">
      <c r="B74" s="73" t="s">
        <v>157</v>
      </c>
      <c r="C74" s="72"/>
      <c r="D74" s="73">
        <v>22000</v>
      </c>
      <c r="E74" s="72">
        <v>21596</v>
      </c>
      <c r="F74" s="72">
        <v>19784</v>
      </c>
      <c r="G74" s="83">
        <v>18041</v>
      </c>
      <c r="H74" s="83">
        <v>19544.259999999998</v>
      </c>
      <c r="I74" s="83">
        <v>19211</v>
      </c>
      <c r="J74" s="83">
        <v>17917</v>
      </c>
      <c r="K74" s="84">
        <v>15830</v>
      </c>
      <c r="L74" s="84">
        <v>15441</v>
      </c>
      <c r="M74" s="85">
        <v>13417</v>
      </c>
      <c r="N74" s="86">
        <v>13557</v>
      </c>
      <c r="O74" s="86">
        <v>13557</v>
      </c>
      <c r="P74" s="88">
        <v>13550</v>
      </c>
      <c r="Q74" s="88">
        <v>13003</v>
      </c>
      <c r="R74" s="87">
        <v>14017.49</v>
      </c>
      <c r="S74" s="88">
        <v>13002.43</v>
      </c>
      <c r="T74" s="88">
        <v>11998</v>
      </c>
      <c r="U74" s="88">
        <v>11633.64</v>
      </c>
      <c r="V74" s="88">
        <v>11236.36</v>
      </c>
      <c r="W74" s="88">
        <v>10536.83</v>
      </c>
      <c r="X74" s="88">
        <v>9956</v>
      </c>
      <c r="Y74" s="169">
        <f t="shared" si="6"/>
        <v>13791.784285714286</v>
      </c>
      <c r="Z74" s="170">
        <f t="shared" si="7"/>
        <v>13791.784285714286</v>
      </c>
      <c r="AA74" s="170"/>
    </row>
    <row r="75" spans="1:32" s="81" customFormat="1" ht="14" x14ac:dyDescent="0.2">
      <c r="B75" s="73" t="s">
        <v>158</v>
      </c>
      <c r="C75" s="72"/>
      <c r="D75" s="73">
        <v>33180</v>
      </c>
      <c r="E75" s="72">
        <v>30417</v>
      </c>
      <c r="F75" s="72">
        <v>33503</v>
      </c>
      <c r="G75" s="83">
        <v>33180</v>
      </c>
      <c r="H75" s="83">
        <v>33180</v>
      </c>
      <c r="I75" s="83">
        <v>33180</v>
      </c>
      <c r="J75" s="83">
        <v>35945</v>
      </c>
      <c r="K75" s="84">
        <v>0</v>
      </c>
      <c r="L75" s="84">
        <v>218</v>
      </c>
      <c r="M75" s="85"/>
      <c r="N75" s="86"/>
      <c r="O75" s="86"/>
      <c r="P75" s="88"/>
      <c r="Q75" s="88"/>
      <c r="R75" s="87"/>
      <c r="S75" s="88"/>
      <c r="T75" s="88"/>
      <c r="U75" s="88"/>
      <c r="V75" s="88"/>
      <c r="W75" s="88"/>
      <c r="X75" s="88"/>
      <c r="Y75" s="169"/>
      <c r="Z75" s="170">
        <f t="shared" si="7"/>
        <v>218</v>
      </c>
      <c r="AA75" s="170"/>
    </row>
    <row r="76" spans="1:32" s="81" customFormat="1" ht="14" x14ac:dyDescent="0.2">
      <c r="B76" s="73" t="s">
        <v>159</v>
      </c>
      <c r="C76" s="72"/>
      <c r="D76" s="73">
        <v>500</v>
      </c>
      <c r="E76" s="72">
        <v>781</v>
      </c>
      <c r="F76" s="72">
        <v>467</v>
      </c>
      <c r="G76" s="83">
        <v>468</v>
      </c>
      <c r="H76" s="83">
        <v>415.61</v>
      </c>
      <c r="I76" s="83">
        <v>820</v>
      </c>
      <c r="J76" s="83">
        <v>395</v>
      </c>
      <c r="K76" s="84">
        <v>398</v>
      </c>
      <c r="L76" s="84">
        <v>533</v>
      </c>
      <c r="M76" s="85">
        <v>911</v>
      </c>
      <c r="N76" s="86">
        <v>997</v>
      </c>
      <c r="O76" s="86">
        <v>996</v>
      </c>
      <c r="P76" s="88">
        <v>726</v>
      </c>
      <c r="Q76" s="88">
        <v>583</v>
      </c>
      <c r="R76" s="87">
        <v>614.25</v>
      </c>
      <c r="S76" s="88">
        <v>942.33</v>
      </c>
      <c r="T76" s="88">
        <v>1142</v>
      </c>
      <c r="U76" s="88">
        <v>900.18</v>
      </c>
      <c r="V76" s="88">
        <v>931.48</v>
      </c>
      <c r="W76" s="88">
        <v>774.13</v>
      </c>
      <c r="X76" s="88">
        <v>783</v>
      </c>
      <c r="Y76" s="169"/>
      <c r="Z76" s="170"/>
      <c r="AA76" s="170"/>
    </row>
    <row r="77" spans="1:32" s="106" customFormat="1" ht="15" thickBot="1" x14ac:dyDescent="0.25">
      <c r="B77" s="147" t="s">
        <v>160</v>
      </c>
      <c r="C77" s="150"/>
      <c r="D77" s="147"/>
      <c r="E77" s="150"/>
      <c r="F77" s="150"/>
      <c r="G77" s="110">
        <v>0</v>
      </c>
      <c r="H77" s="110"/>
      <c r="I77" s="110"/>
      <c r="J77" s="110"/>
      <c r="K77" s="151"/>
      <c r="L77" s="151"/>
      <c r="M77" s="112"/>
      <c r="N77" s="113"/>
      <c r="O77" s="113"/>
      <c r="P77" s="171">
        <v>174</v>
      </c>
      <c r="Q77" s="171">
        <v>187</v>
      </c>
      <c r="R77" s="114">
        <v>170.45</v>
      </c>
      <c r="S77" s="171">
        <v>89.04</v>
      </c>
      <c r="T77" s="171">
        <v>104</v>
      </c>
      <c r="U77" s="171">
        <v>73.7</v>
      </c>
      <c r="V77" s="171">
        <v>83.12</v>
      </c>
      <c r="W77" s="171">
        <v>175.35</v>
      </c>
      <c r="X77" s="171">
        <v>180</v>
      </c>
      <c r="Y77" s="172"/>
      <c r="Z77" s="173"/>
      <c r="AA77" s="173"/>
    </row>
    <row r="78" spans="1:32" s="174" customFormat="1" ht="16" thickTop="1" thickBot="1" x14ac:dyDescent="0.25">
      <c r="B78" s="175" t="s">
        <v>161</v>
      </c>
      <c r="C78" s="176"/>
      <c r="D78" s="175">
        <f>SUM(D69:D77)</f>
        <v>148680</v>
      </c>
      <c r="E78" s="176">
        <f>SUM(E69:E76)</f>
        <v>147234</v>
      </c>
      <c r="F78" s="177">
        <f>SUM(F69:F77)</f>
        <v>140709</v>
      </c>
      <c r="G78" s="177">
        <f>SUM(G69:G76)</f>
        <v>132445</v>
      </c>
      <c r="H78" s="177">
        <f>SUM(H69:H76)</f>
        <v>134757.04999999999</v>
      </c>
      <c r="I78" s="177">
        <f>SUM(I69:I76)</f>
        <v>130702</v>
      </c>
      <c r="J78" s="177">
        <f>SUM(J69:J76)</f>
        <v>131506</v>
      </c>
      <c r="K78" s="164">
        <f>SUM(K69:K77)</f>
        <v>93911</v>
      </c>
      <c r="L78" s="178">
        <f t="shared" ref="L78:X78" si="8">SUM(L69:L77)</f>
        <v>97541</v>
      </c>
      <c r="M78" s="179">
        <f t="shared" si="8"/>
        <v>95030</v>
      </c>
      <c r="N78" s="179">
        <f t="shared" si="8"/>
        <v>96651</v>
      </c>
      <c r="O78" s="179">
        <f t="shared" si="8"/>
        <v>95891</v>
      </c>
      <c r="P78" s="179">
        <f t="shared" si="8"/>
        <v>85285</v>
      </c>
      <c r="Q78" s="179">
        <f t="shared" si="8"/>
        <v>86601</v>
      </c>
      <c r="R78" s="179">
        <f t="shared" si="8"/>
        <v>85412.02</v>
      </c>
      <c r="S78" s="179">
        <f t="shared" si="8"/>
        <v>81124.450000000012</v>
      </c>
      <c r="T78" s="179">
        <f t="shared" si="8"/>
        <v>76992</v>
      </c>
      <c r="U78" s="179">
        <f t="shared" si="8"/>
        <v>72639.209999999977</v>
      </c>
      <c r="V78" s="179">
        <f t="shared" si="8"/>
        <v>72662.809999999983</v>
      </c>
      <c r="W78" s="179">
        <f t="shared" si="8"/>
        <v>63540.109999999993</v>
      </c>
      <c r="X78" s="179">
        <f t="shared" si="8"/>
        <v>57511</v>
      </c>
      <c r="Y78" s="180"/>
    </row>
    <row r="79" spans="1:32" s="161" customFormat="1" ht="14" thickTop="1" x14ac:dyDescent="0.2">
      <c r="B79" s="127"/>
      <c r="C79" s="128"/>
      <c r="D79" s="127"/>
      <c r="E79" s="128"/>
      <c r="F79" s="128"/>
      <c r="G79" s="129"/>
      <c r="H79" s="129"/>
      <c r="I79" s="129"/>
      <c r="J79" s="129"/>
      <c r="K79" s="49"/>
      <c r="L79" s="181"/>
      <c r="M79" s="131"/>
      <c r="N79" s="131"/>
      <c r="O79" s="131"/>
      <c r="P79" s="157"/>
      <c r="Q79" s="157"/>
      <c r="R79" s="157"/>
      <c r="S79" s="158" t="s">
        <v>86</v>
      </c>
      <c r="T79" s="158"/>
      <c r="U79" s="158"/>
      <c r="V79" s="159"/>
      <c r="W79" s="158"/>
      <c r="X79" s="158"/>
      <c r="Y79" s="160"/>
    </row>
    <row r="80" spans="1:32" s="63" customFormat="1" ht="14" x14ac:dyDescent="0.2">
      <c r="B80" s="145" t="s">
        <v>162</v>
      </c>
      <c r="C80" s="65"/>
      <c r="D80" s="145"/>
      <c r="E80" s="65"/>
      <c r="F80" s="65"/>
      <c r="G80" s="66"/>
      <c r="H80" s="66"/>
      <c r="I80" s="66"/>
      <c r="J80" s="66"/>
      <c r="K80" s="162"/>
      <c r="L80" s="137"/>
      <c r="M80" s="76"/>
      <c r="N80" s="76"/>
      <c r="O80" s="76" t="s">
        <v>86</v>
      </c>
      <c r="P80" s="77"/>
      <c r="Q80" s="77"/>
      <c r="R80" s="77"/>
      <c r="S80" s="138"/>
      <c r="T80" s="138"/>
      <c r="U80" s="138"/>
      <c r="V80" s="79"/>
      <c r="W80" s="61"/>
      <c r="X80" s="61"/>
      <c r="Y80" s="62"/>
    </row>
    <row r="81" spans="2:25" s="81" customFormat="1" ht="14" x14ac:dyDescent="0.2">
      <c r="B81" s="73" t="s">
        <v>163</v>
      </c>
      <c r="C81" s="72"/>
      <c r="D81" s="73">
        <v>8000</v>
      </c>
      <c r="E81" s="72">
        <v>7008</v>
      </c>
      <c r="F81" s="72">
        <v>10859</v>
      </c>
      <c r="G81" s="83">
        <v>10000</v>
      </c>
      <c r="H81" s="83">
        <v>10000.08</v>
      </c>
      <c r="I81" s="83">
        <v>10000</v>
      </c>
      <c r="J81" s="83">
        <v>10000</v>
      </c>
      <c r="K81" s="84">
        <v>9000</v>
      </c>
      <c r="L81" s="84">
        <v>9000</v>
      </c>
      <c r="M81" s="85">
        <v>13135</v>
      </c>
      <c r="N81" s="86">
        <v>9103</v>
      </c>
      <c r="O81" s="86">
        <v>7991</v>
      </c>
      <c r="P81" s="88">
        <v>7891</v>
      </c>
      <c r="Q81" s="88">
        <v>6896</v>
      </c>
      <c r="R81" s="87">
        <v>6354</v>
      </c>
      <c r="S81" s="79">
        <v>6600</v>
      </c>
      <c r="T81" s="79">
        <v>7627</v>
      </c>
      <c r="U81" s="79">
        <v>6178</v>
      </c>
      <c r="V81" s="79">
        <v>6343</v>
      </c>
      <c r="W81" s="79">
        <v>5556</v>
      </c>
      <c r="X81" s="79">
        <v>5824</v>
      </c>
      <c r="Y81" s="80"/>
    </row>
    <row r="82" spans="2:25" s="81" customFormat="1" ht="14" x14ac:dyDescent="0.2">
      <c r="B82" s="73" t="s">
        <v>164</v>
      </c>
      <c r="C82" s="72"/>
      <c r="D82" s="73">
        <v>800</v>
      </c>
      <c r="E82" s="72">
        <v>970</v>
      </c>
      <c r="F82" s="72">
        <v>744</v>
      </c>
      <c r="G82" s="83">
        <v>828</v>
      </c>
      <c r="H82" s="83">
        <v>723.05</v>
      </c>
      <c r="I82" s="83">
        <v>671</v>
      </c>
      <c r="J82" s="83">
        <v>239</v>
      </c>
      <c r="K82" s="84">
        <v>251</v>
      </c>
      <c r="L82" s="84">
        <v>574</v>
      </c>
      <c r="M82" s="85">
        <v>443</v>
      </c>
      <c r="N82" s="86">
        <v>803</v>
      </c>
      <c r="O82" s="86">
        <v>194</v>
      </c>
      <c r="P82" s="88">
        <v>79</v>
      </c>
      <c r="Q82" s="88"/>
      <c r="R82" s="87"/>
      <c r="S82" s="79">
        <v>33.1</v>
      </c>
      <c r="T82" s="79">
        <v>332</v>
      </c>
      <c r="U82" s="79">
        <v>22.75</v>
      </c>
      <c r="V82" s="79"/>
      <c r="W82" s="79"/>
      <c r="X82" s="79">
        <v>16</v>
      </c>
      <c r="Y82" s="80"/>
    </row>
    <row r="83" spans="2:25" s="81" customFormat="1" ht="14" x14ac:dyDescent="0.2">
      <c r="B83" s="73" t="s">
        <v>165</v>
      </c>
      <c r="C83" s="72"/>
      <c r="D83" s="73"/>
      <c r="E83" s="72"/>
      <c r="F83" s="72"/>
      <c r="G83" s="83"/>
      <c r="H83" s="83"/>
      <c r="I83" s="83"/>
      <c r="J83" s="83"/>
      <c r="K83" s="84"/>
      <c r="L83" s="84"/>
      <c r="M83" s="85"/>
      <c r="N83" s="86"/>
      <c r="O83" s="86"/>
      <c r="P83" s="88"/>
      <c r="Q83" s="88">
        <v>570</v>
      </c>
      <c r="R83" s="87">
        <v>500</v>
      </c>
      <c r="S83" s="79">
        <v>500</v>
      </c>
      <c r="T83" s="79">
        <v>500</v>
      </c>
      <c r="U83" s="79">
        <v>600</v>
      </c>
      <c r="V83" s="79">
        <v>554</v>
      </c>
      <c r="W83" s="79">
        <v>275</v>
      </c>
      <c r="X83" s="79">
        <v>275</v>
      </c>
      <c r="Y83" s="80"/>
    </row>
    <row r="84" spans="2:25" s="81" customFormat="1" ht="14" x14ac:dyDescent="0.2">
      <c r="B84" s="73" t="s">
        <v>166</v>
      </c>
      <c r="C84" s="72"/>
      <c r="D84" s="73">
        <v>1500</v>
      </c>
      <c r="E84" s="72">
        <v>1218</v>
      </c>
      <c r="F84" s="72">
        <v>1374</v>
      </c>
      <c r="G84" s="83">
        <v>1015</v>
      </c>
      <c r="H84" s="83">
        <v>1104.3800000000001</v>
      </c>
      <c r="I84" s="83">
        <v>500</v>
      </c>
      <c r="J84" s="83">
        <v>480</v>
      </c>
      <c r="K84" s="84"/>
      <c r="L84" s="84">
        <v>841</v>
      </c>
      <c r="M84" s="85"/>
      <c r="N84" s="86"/>
      <c r="O84" s="86"/>
      <c r="P84" s="88"/>
      <c r="Q84" s="88"/>
      <c r="R84" s="87"/>
      <c r="S84" s="79"/>
      <c r="T84" s="79"/>
      <c r="U84" s="79"/>
      <c r="V84" s="79"/>
      <c r="W84" s="79"/>
      <c r="X84" s="79"/>
      <c r="Y84" s="80"/>
    </row>
    <row r="85" spans="2:25" s="81" customFormat="1" ht="14" x14ac:dyDescent="0.2">
      <c r="B85" s="73" t="s">
        <v>167</v>
      </c>
      <c r="C85" s="72"/>
      <c r="D85" s="73"/>
      <c r="E85" s="72"/>
      <c r="F85" s="72"/>
      <c r="G85" s="83"/>
      <c r="H85" s="83">
        <v>0</v>
      </c>
      <c r="I85" s="83">
        <v>11</v>
      </c>
      <c r="J85" s="83">
        <v>30</v>
      </c>
      <c r="K85" s="84">
        <v>30</v>
      </c>
      <c r="L85" s="84">
        <v>10</v>
      </c>
      <c r="M85" s="85">
        <v>32</v>
      </c>
      <c r="N85" s="86">
        <v>50</v>
      </c>
      <c r="O85" s="86">
        <v>-756</v>
      </c>
      <c r="P85" s="88"/>
      <c r="Q85" s="88">
        <v>30</v>
      </c>
      <c r="R85" s="87"/>
      <c r="S85" s="79">
        <v>186</v>
      </c>
      <c r="T85" s="79">
        <v>-1191</v>
      </c>
      <c r="U85" s="79">
        <v>5353</v>
      </c>
      <c r="V85" s="79">
        <v>1582</v>
      </c>
      <c r="W85" s="79">
        <v>5942</v>
      </c>
      <c r="X85" s="79">
        <v>2858</v>
      </c>
      <c r="Y85" s="80"/>
    </row>
    <row r="86" spans="2:25" s="81" customFormat="1" ht="14" x14ac:dyDescent="0.2">
      <c r="B86" s="73" t="s">
        <v>168</v>
      </c>
      <c r="C86" s="72"/>
      <c r="D86" s="73"/>
      <c r="E86" s="72"/>
      <c r="F86" s="72"/>
      <c r="G86" s="83"/>
      <c r="H86" s="83"/>
      <c r="I86" s="83"/>
      <c r="J86" s="83"/>
      <c r="K86" s="84"/>
      <c r="L86" s="84"/>
      <c r="M86" s="85"/>
      <c r="N86" s="86">
        <v>50</v>
      </c>
      <c r="O86" s="86"/>
      <c r="P86" s="88"/>
      <c r="Q86" s="88">
        <v>102</v>
      </c>
      <c r="R86" s="87"/>
      <c r="S86" s="79">
        <v>50</v>
      </c>
      <c r="T86" s="79"/>
      <c r="U86" s="79"/>
      <c r="V86" s="79"/>
      <c r="W86" s="79"/>
      <c r="X86" s="79"/>
      <c r="Y86" s="80"/>
    </row>
    <row r="87" spans="2:25" s="81" customFormat="1" ht="14" x14ac:dyDescent="0.2">
      <c r="B87" s="73" t="s">
        <v>169</v>
      </c>
      <c r="C87" s="182"/>
      <c r="D87" s="73">
        <v>50000</v>
      </c>
      <c r="E87" s="72">
        <v>44391</v>
      </c>
      <c r="F87" s="72">
        <v>37902</v>
      </c>
      <c r="G87" s="83">
        <v>35044</v>
      </c>
      <c r="H87" s="83">
        <v>28651</v>
      </c>
      <c r="I87" s="83">
        <v>26917</v>
      </c>
      <c r="J87" s="83">
        <v>24752</v>
      </c>
      <c r="K87" s="84">
        <v>24060</v>
      </c>
      <c r="L87" s="84">
        <v>23315</v>
      </c>
      <c r="M87" s="85">
        <v>22803</v>
      </c>
      <c r="N87" s="86">
        <v>20645</v>
      </c>
      <c r="O87" s="86">
        <v>19241</v>
      </c>
      <c r="P87" s="88">
        <v>18944</v>
      </c>
      <c r="Q87" s="88">
        <v>17442</v>
      </c>
      <c r="R87" s="87">
        <v>18073.080000000002</v>
      </c>
      <c r="S87" s="79">
        <v>15385.92</v>
      </c>
      <c r="T87" s="79">
        <v>14097</v>
      </c>
      <c r="U87" s="79">
        <v>20596.509999999998</v>
      </c>
      <c r="V87" s="79">
        <v>23172.98</v>
      </c>
      <c r="W87" s="79">
        <v>23419.9</v>
      </c>
      <c r="X87" s="79">
        <v>24011</v>
      </c>
      <c r="Y87" s="80"/>
    </row>
    <row r="88" spans="2:25" s="81" customFormat="1" ht="14" x14ac:dyDescent="0.2">
      <c r="B88" s="73" t="s">
        <v>170</v>
      </c>
      <c r="C88" s="182"/>
      <c r="D88" s="73"/>
      <c r="E88" s="72"/>
      <c r="F88" s="72"/>
      <c r="G88" s="83"/>
      <c r="H88" s="83">
        <v>200</v>
      </c>
      <c r="I88" s="83"/>
      <c r="J88" s="83">
        <v>300</v>
      </c>
      <c r="K88" s="84"/>
      <c r="L88" s="84"/>
      <c r="M88" s="85"/>
      <c r="N88" s="86"/>
      <c r="O88" s="86"/>
      <c r="P88" s="88"/>
      <c r="Q88" s="88"/>
      <c r="R88" s="87"/>
      <c r="S88" s="79"/>
      <c r="T88" s="79">
        <v>53</v>
      </c>
      <c r="U88" s="79">
        <v>61.66</v>
      </c>
      <c r="V88" s="79">
        <v>39.11</v>
      </c>
      <c r="W88" s="79">
        <v>35</v>
      </c>
      <c r="X88" s="79">
        <v>0</v>
      </c>
      <c r="Y88" s="80"/>
    </row>
    <row r="89" spans="2:25" s="81" customFormat="1" ht="14" x14ac:dyDescent="0.2">
      <c r="B89" s="73" t="s">
        <v>171</v>
      </c>
      <c r="C89" s="72"/>
      <c r="D89" s="73"/>
      <c r="E89" s="72"/>
      <c r="F89" s="72"/>
      <c r="G89" s="83"/>
      <c r="H89" s="83"/>
      <c r="I89" s="83"/>
      <c r="J89" s="83"/>
      <c r="K89" s="84"/>
      <c r="L89" s="84"/>
      <c r="M89" s="85"/>
      <c r="N89" s="86"/>
      <c r="O89" s="86"/>
      <c r="P89" s="88"/>
      <c r="Q89" s="88"/>
      <c r="R89" s="87"/>
      <c r="S89" s="79"/>
      <c r="T89" s="79"/>
      <c r="U89" s="79"/>
      <c r="V89" s="79"/>
      <c r="W89" s="79"/>
      <c r="X89" s="79"/>
      <c r="Y89" s="80"/>
    </row>
    <row r="90" spans="2:25" s="81" customFormat="1" ht="13" customHeight="1" x14ac:dyDescent="0.2">
      <c r="B90" s="73" t="s">
        <v>172</v>
      </c>
      <c r="C90" s="72"/>
      <c r="D90" s="73">
        <v>2000</v>
      </c>
      <c r="E90" s="72">
        <v>2075</v>
      </c>
      <c r="F90" s="72">
        <v>1803</v>
      </c>
      <c r="G90" s="83">
        <v>1679</v>
      </c>
      <c r="H90" s="83">
        <v>2860.28</v>
      </c>
      <c r="I90" s="83">
        <v>126</v>
      </c>
      <c r="J90" s="83">
        <v>189</v>
      </c>
      <c r="K90" s="84">
        <v>3025</v>
      </c>
      <c r="L90" s="84">
        <v>1847</v>
      </c>
      <c r="M90" s="85">
        <v>210</v>
      </c>
      <c r="N90" s="86"/>
      <c r="O90" s="86">
        <v>520</v>
      </c>
      <c r="P90" s="88"/>
      <c r="Q90" s="88">
        <v>90</v>
      </c>
      <c r="R90" s="87">
        <v>4155</v>
      </c>
      <c r="S90" s="79">
        <v>792</v>
      </c>
      <c r="T90" s="79">
        <v>2494</v>
      </c>
      <c r="U90" s="79"/>
      <c r="V90" s="79">
        <v>450</v>
      </c>
      <c r="W90" s="79">
        <v>465</v>
      </c>
      <c r="X90" s="79">
        <v>255</v>
      </c>
      <c r="Y90" s="80"/>
    </row>
    <row r="91" spans="2:25" s="81" customFormat="1" ht="14" x14ac:dyDescent="0.2">
      <c r="B91" s="73" t="s">
        <v>173</v>
      </c>
      <c r="C91" s="72"/>
      <c r="D91" s="73">
        <v>500</v>
      </c>
      <c r="E91" s="72">
        <v>11</v>
      </c>
      <c r="F91" s="72">
        <v>170</v>
      </c>
      <c r="G91" s="83">
        <v>64</v>
      </c>
      <c r="H91" s="83"/>
      <c r="I91" s="83">
        <v>250</v>
      </c>
      <c r="J91" s="83">
        <v>300</v>
      </c>
      <c r="K91" s="84">
        <v>1498</v>
      </c>
      <c r="L91" s="84">
        <v>1793</v>
      </c>
      <c r="M91" s="85">
        <v>1429</v>
      </c>
      <c r="N91" s="86">
        <v>2086</v>
      </c>
      <c r="O91" s="86"/>
      <c r="P91" s="88"/>
      <c r="Q91" s="88"/>
      <c r="R91" s="87"/>
      <c r="S91" s="79">
        <v>2534</v>
      </c>
      <c r="T91" s="79">
        <v>124</v>
      </c>
      <c r="U91" s="79">
        <v>113</v>
      </c>
      <c r="V91" s="79">
        <v>1879.66</v>
      </c>
      <c r="W91" s="79">
        <v>3449.92</v>
      </c>
      <c r="X91" s="79">
        <v>290</v>
      </c>
      <c r="Y91" s="80"/>
    </row>
    <row r="92" spans="2:25" s="81" customFormat="1" ht="14" x14ac:dyDescent="0.2">
      <c r="B92" s="73" t="s">
        <v>174</v>
      </c>
      <c r="C92" s="72"/>
      <c r="D92" s="73">
        <v>750</v>
      </c>
      <c r="E92" s="72">
        <v>409</v>
      </c>
      <c r="F92" s="72">
        <v>734</v>
      </c>
      <c r="G92" s="83">
        <v>849</v>
      </c>
      <c r="H92" s="83">
        <v>712.98</v>
      </c>
      <c r="I92" s="83">
        <v>82</v>
      </c>
      <c r="J92" s="83">
        <v>215</v>
      </c>
      <c r="K92" s="84">
        <v>965</v>
      </c>
      <c r="L92" s="84">
        <f>167+1268</f>
        <v>1435</v>
      </c>
      <c r="M92" s="85">
        <v>220</v>
      </c>
      <c r="N92" s="86">
        <v>812</v>
      </c>
      <c r="O92" s="86">
        <v>2707</v>
      </c>
      <c r="P92" s="88">
        <v>913</v>
      </c>
      <c r="Q92" s="88">
        <v>780</v>
      </c>
      <c r="R92" s="87">
        <v>272.11</v>
      </c>
      <c r="S92" s="79">
        <v>947</v>
      </c>
      <c r="T92" s="79">
        <v>440</v>
      </c>
      <c r="U92" s="79">
        <v>767.39</v>
      </c>
      <c r="V92" s="79">
        <v>353.39</v>
      </c>
      <c r="W92" s="79">
        <v>125.06</v>
      </c>
      <c r="X92" s="79">
        <v>631</v>
      </c>
      <c r="Y92" s="80"/>
    </row>
    <row r="93" spans="2:25" s="81" customFormat="1" ht="14" x14ac:dyDescent="0.2">
      <c r="B93" s="73" t="s">
        <v>175</v>
      </c>
      <c r="C93" s="72"/>
      <c r="D93" s="73">
        <v>300</v>
      </c>
      <c r="E93" s="72"/>
      <c r="F93" s="72">
        <v>673</v>
      </c>
      <c r="G93" s="83">
        <v>0</v>
      </c>
      <c r="H93" s="83">
        <v>186.63</v>
      </c>
      <c r="I93" s="83"/>
      <c r="J93" s="83">
        <v>107</v>
      </c>
      <c r="K93" s="84"/>
      <c r="L93" s="84">
        <v>251</v>
      </c>
      <c r="M93" s="85"/>
      <c r="N93" s="86"/>
      <c r="O93" s="86"/>
      <c r="P93" s="88"/>
      <c r="Q93" s="88"/>
      <c r="R93" s="87"/>
      <c r="S93" s="79"/>
      <c r="T93" s="79"/>
      <c r="U93" s="79"/>
      <c r="V93" s="79"/>
      <c r="W93" s="79"/>
      <c r="X93" s="79"/>
      <c r="Y93" s="80"/>
    </row>
    <row r="94" spans="2:25" s="81" customFormat="1" ht="14" x14ac:dyDescent="0.2">
      <c r="B94" s="73" t="s">
        <v>176</v>
      </c>
      <c r="C94" s="72"/>
      <c r="D94" s="73">
        <v>250</v>
      </c>
      <c r="E94" s="72"/>
      <c r="F94" s="72"/>
      <c r="G94" s="83">
        <v>118</v>
      </c>
      <c r="H94" s="83">
        <v>114.39</v>
      </c>
      <c r="I94" s="83">
        <v>336</v>
      </c>
      <c r="J94" s="83">
        <v>69</v>
      </c>
      <c r="K94" s="84"/>
      <c r="L94" s="84">
        <v>375</v>
      </c>
      <c r="M94" s="88"/>
      <c r="N94" s="86">
        <v>321</v>
      </c>
      <c r="O94" s="86"/>
      <c r="P94" s="88"/>
      <c r="Q94" s="88"/>
      <c r="R94" s="87"/>
      <c r="S94" s="79"/>
      <c r="T94" s="79"/>
      <c r="U94" s="79"/>
      <c r="V94" s="79"/>
      <c r="W94" s="79"/>
      <c r="X94" s="79"/>
      <c r="Y94" s="80"/>
    </row>
    <row r="95" spans="2:25" s="81" customFormat="1" ht="14" x14ac:dyDescent="0.2">
      <c r="B95" s="73" t="s">
        <v>177</v>
      </c>
      <c r="C95" s="72"/>
      <c r="D95" s="73">
        <v>750</v>
      </c>
      <c r="E95" s="72">
        <v>430</v>
      </c>
      <c r="F95" s="72">
        <v>226</v>
      </c>
      <c r="G95" s="83">
        <v>799</v>
      </c>
      <c r="H95" s="83">
        <f>188+357.68</f>
        <v>545.68000000000006</v>
      </c>
      <c r="I95" s="83">
        <v>477</v>
      </c>
      <c r="J95" s="83">
        <v>605</v>
      </c>
      <c r="K95" s="84">
        <v>499</v>
      </c>
      <c r="L95" s="84">
        <v>192</v>
      </c>
      <c r="M95" s="85">
        <v>187</v>
      </c>
      <c r="N95" s="86"/>
      <c r="O95" s="86">
        <v>492</v>
      </c>
      <c r="P95" s="88"/>
      <c r="Q95" s="88">
        <v>835</v>
      </c>
      <c r="R95" s="87">
        <v>694.43</v>
      </c>
      <c r="S95" s="79">
        <v>925</v>
      </c>
      <c r="T95" s="79">
        <v>711</v>
      </c>
      <c r="U95" s="79">
        <v>503.34</v>
      </c>
      <c r="V95" s="79">
        <v>501.92</v>
      </c>
      <c r="W95" s="79">
        <v>590.25</v>
      </c>
      <c r="X95" s="79">
        <v>503</v>
      </c>
      <c r="Y95" s="80"/>
    </row>
    <row r="96" spans="2:25" s="106" customFormat="1" ht="15" thickBot="1" x14ac:dyDescent="0.25">
      <c r="B96" s="147" t="s">
        <v>178</v>
      </c>
      <c r="C96" s="150"/>
      <c r="D96" s="147">
        <v>350</v>
      </c>
      <c r="E96" s="150">
        <v>83</v>
      </c>
      <c r="F96" s="150"/>
      <c r="G96" s="183">
        <v>561</v>
      </c>
      <c r="H96" s="183">
        <v>250</v>
      </c>
      <c r="I96" s="183"/>
      <c r="J96" s="183"/>
      <c r="K96" s="184"/>
      <c r="L96" s="184"/>
      <c r="M96" s="115"/>
      <c r="N96" s="185"/>
      <c r="O96" s="185"/>
      <c r="P96" s="115"/>
      <c r="Q96" s="115">
        <v>858</v>
      </c>
      <c r="R96" s="186">
        <v>1431.12</v>
      </c>
      <c r="S96" s="115">
        <v>1431.12</v>
      </c>
      <c r="T96" s="115">
        <v>1431</v>
      </c>
      <c r="U96" s="115">
        <v>1431.18</v>
      </c>
      <c r="V96" s="115">
        <v>1204.73</v>
      </c>
      <c r="W96" s="115">
        <v>1005.79</v>
      </c>
      <c r="X96" s="115">
        <v>797</v>
      </c>
      <c r="Y96" s="116"/>
    </row>
    <row r="97" spans="1:25" s="117" customFormat="1" ht="16" thickTop="1" thickBot="1" x14ac:dyDescent="0.25">
      <c r="B97" s="152" t="s">
        <v>179</v>
      </c>
      <c r="C97" s="154"/>
      <c r="D97" s="152">
        <f>SUM(D81:D96)</f>
        <v>65200</v>
      </c>
      <c r="E97" s="154">
        <f>SUM(E81:E96)</f>
        <v>56595</v>
      </c>
      <c r="F97" s="155">
        <f>SUM(F81:F96)</f>
        <v>54485</v>
      </c>
      <c r="G97" s="155">
        <f>SUM(G81:G96)</f>
        <v>50957</v>
      </c>
      <c r="H97" s="155">
        <f t="shared" ref="H97:J97" si="9">SUM(H81:H96)</f>
        <v>45348.469999999994</v>
      </c>
      <c r="I97" s="155">
        <f t="shared" si="9"/>
        <v>39370</v>
      </c>
      <c r="J97" s="155">
        <f t="shared" si="9"/>
        <v>37286</v>
      </c>
      <c r="K97" s="156">
        <f>SUM(K81:K95)</f>
        <v>39328</v>
      </c>
      <c r="L97" s="155">
        <f>SUM(L81:L95)</f>
        <v>39633</v>
      </c>
      <c r="M97" s="187">
        <f>SUM(M81:M95)</f>
        <v>38459</v>
      </c>
      <c r="N97" s="188">
        <f t="shared" ref="N97:X97" si="10">SUM(N81:N96)</f>
        <v>33870</v>
      </c>
      <c r="O97" s="188">
        <f t="shared" si="10"/>
        <v>30389</v>
      </c>
      <c r="P97" s="188">
        <f t="shared" si="10"/>
        <v>27827</v>
      </c>
      <c r="Q97" s="188">
        <f t="shared" si="10"/>
        <v>27603</v>
      </c>
      <c r="R97" s="188">
        <f t="shared" si="10"/>
        <v>31479.74</v>
      </c>
      <c r="S97" s="124">
        <f t="shared" si="10"/>
        <v>29384.14</v>
      </c>
      <c r="T97" s="124">
        <f t="shared" si="10"/>
        <v>26618</v>
      </c>
      <c r="U97" s="124">
        <f t="shared" si="10"/>
        <v>35626.829999999994</v>
      </c>
      <c r="V97" s="124">
        <f t="shared" si="10"/>
        <v>36080.79</v>
      </c>
      <c r="W97" s="124">
        <f t="shared" si="10"/>
        <v>40863.919999999998</v>
      </c>
      <c r="X97" s="124">
        <f t="shared" si="10"/>
        <v>35460</v>
      </c>
      <c r="Y97" s="125"/>
    </row>
    <row r="98" spans="1:25" s="189" customFormat="1" ht="15" thickTop="1" thickBot="1" x14ac:dyDescent="0.25">
      <c r="B98" s="190"/>
      <c r="C98" s="191"/>
      <c r="D98" s="190"/>
      <c r="E98" s="191"/>
      <c r="F98" s="191"/>
      <c r="G98" s="192"/>
      <c r="H98" s="192"/>
      <c r="I98" s="192"/>
      <c r="J98" s="192"/>
      <c r="K98" s="156"/>
      <c r="L98" s="193"/>
      <c r="M98" s="194"/>
      <c r="N98" s="194"/>
      <c r="O98" s="194"/>
      <c r="P98" s="194"/>
      <c r="Q98" s="194"/>
      <c r="R98" s="194"/>
      <c r="S98" s="195"/>
      <c r="T98" s="195"/>
      <c r="U98" s="195"/>
      <c r="V98" s="195"/>
      <c r="W98" s="195"/>
      <c r="X98" s="195"/>
    </row>
    <row r="99" spans="1:25" s="117" customFormat="1" ht="17" thickTop="1" thickBot="1" x14ac:dyDescent="0.25">
      <c r="B99" s="196" t="s">
        <v>180</v>
      </c>
      <c r="C99" s="197"/>
      <c r="D99" s="196">
        <f>SUM(D51,D66,D78,D97)</f>
        <v>397030</v>
      </c>
      <c r="E99" s="196">
        <f>SUM(E51,E66,E78,E97)</f>
        <v>381801</v>
      </c>
      <c r="F99" s="198">
        <f t="shared" ref="F99:X99" si="11">SUM(F51,F66,F78,F97)</f>
        <v>359649</v>
      </c>
      <c r="G99" s="198">
        <f t="shared" si="11"/>
        <v>367294</v>
      </c>
      <c r="H99" s="198">
        <f t="shared" si="11"/>
        <v>340218.11</v>
      </c>
      <c r="I99" s="198">
        <f t="shared" si="11"/>
        <v>324336</v>
      </c>
      <c r="J99" s="198">
        <f t="shared" si="11"/>
        <v>359645</v>
      </c>
      <c r="K99" s="156">
        <f t="shared" si="11"/>
        <v>297420</v>
      </c>
      <c r="L99" s="155">
        <f t="shared" si="11"/>
        <v>345349</v>
      </c>
      <c r="M99" s="188">
        <f t="shared" si="11"/>
        <v>298261</v>
      </c>
      <c r="N99" s="188">
        <f t="shared" si="11"/>
        <v>284304</v>
      </c>
      <c r="O99" s="188">
        <f t="shared" si="11"/>
        <v>287311</v>
      </c>
      <c r="P99" s="188">
        <f t="shared" si="11"/>
        <v>281366</v>
      </c>
      <c r="Q99" s="188">
        <f t="shared" si="11"/>
        <v>287730</v>
      </c>
      <c r="R99" s="188">
        <f t="shared" si="11"/>
        <v>288127.69</v>
      </c>
      <c r="S99" s="124">
        <f t="shared" si="11"/>
        <v>263678.66000000003</v>
      </c>
      <c r="T99" s="124">
        <f t="shared" si="11"/>
        <v>264082</v>
      </c>
      <c r="U99" s="124">
        <f t="shared" si="11"/>
        <v>265534.43</v>
      </c>
      <c r="V99" s="124">
        <f t="shared" si="11"/>
        <v>243601.03</v>
      </c>
      <c r="W99" s="124">
        <f t="shared" si="11"/>
        <v>245299.61</v>
      </c>
      <c r="X99" s="124">
        <f t="shared" si="11"/>
        <v>206613</v>
      </c>
      <c r="Y99" s="125"/>
    </row>
    <row r="100" spans="1:25" s="199" customFormat="1" ht="15" thickTop="1" thickBot="1" x14ac:dyDescent="0.25">
      <c r="B100" s="200"/>
      <c r="C100" s="201"/>
      <c r="D100" s="200"/>
      <c r="E100" s="201"/>
      <c r="F100" s="201"/>
      <c r="G100" s="202"/>
      <c r="H100" s="202"/>
      <c r="I100" s="202"/>
      <c r="J100" s="202"/>
      <c r="K100" s="156"/>
      <c r="L100" s="155"/>
      <c r="M100" s="188"/>
      <c r="N100" s="188"/>
      <c r="O100" s="188"/>
      <c r="P100" s="188"/>
      <c r="Q100" s="188"/>
      <c r="R100" s="188"/>
      <c r="S100" s="124"/>
      <c r="T100" s="124"/>
      <c r="U100" s="124"/>
      <c r="V100" s="124"/>
      <c r="W100" s="124"/>
      <c r="X100" s="124"/>
    </row>
    <row r="101" spans="1:25" s="117" customFormat="1" ht="17" thickTop="1" thickBot="1" x14ac:dyDescent="0.25">
      <c r="A101" s="125"/>
      <c r="B101" s="196" t="s">
        <v>127</v>
      </c>
      <c r="C101" s="197"/>
      <c r="D101" s="196">
        <f>D41</f>
        <v>407990</v>
      </c>
      <c r="E101" s="196">
        <f>E41</f>
        <v>373507</v>
      </c>
      <c r="F101" s="197">
        <f>F41</f>
        <v>347921</v>
      </c>
      <c r="G101" s="198">
        <f>G41</f>
        <v>350988</v>
      </c>
      <c r="H101" s="198">
        <f t="shared" ref="H101:I101" si="12">H41</f>
        <v>372979</v>
      </c>
      <c r="I101" s="198">
        <f t="shared" si="12"/>
        <v>378841</v>
      </c>
      <c r="J101" s="198">
        <v>381329</v>
      </c>
      <c r="K101" s="121">
        <f>K41</f>
        <v>357020</v>
      </c>
      <c r="L101" s="155">
        <f>SUM(L9:L40)</f>
        <v>344025</v>
      </c>
      <c r="M101" s="203">
        <f t="shared" ref="M101:R101" si="13">SUM(M6:M40)</f>
        <v>330742.5</v>
      </c>
      <c r="N101" s="203">
        <f t="shared" si="13"/>
        <v>325370</v>
      </c>
      <c r="O101" s="203">
        <f t="shared" si="13"/>
        <v>319566</v>
      </c>
      <c r="P101" s="203">
        <f t="shared" si="13"/>
        <v>310960</v>
      </c>
      <c r="Q101" s="203">
        <f t="shared" si="13"/>
        <v>303117</v>
      </c>
      <c r="R101" s="203">
        <f t="shared" si="13"/>
        <v>278111</v>
      </c>
      <c r="S101" s="124">
        <f t="shared" ref="S101:X101" si="14">SUM(S89:S100)</f>
        <v>299691.92000000004</v>
      </c>
      <c r="T101" s="124">
        <f t="shared" si="14"/>
        <v>295900</v>
      </c>
      <c r="U101" s="124">
        <f t="shared" si="14"/>
        <v>303976.17</v>
      </c>
      <c r="V101" s="124">
        <f t="shared" si="14"/>
        <v>284071.52</v>
      </c>
      <c r="W101" s="124">
        <f t="shared" si="14"/>
        <v>291799.55</v>
      </c>
      <c r="X101" s="124">
        <f t="shared" si="14"/>
        <v>244549</v>
      </c>
      <c r="Y101" s="125"/>
    </row>
    <row r="102" spans="1:25" s="199" customFormat="1" ht="15" thickTop="1" thickBot="1" x14ac:dyDescent="0.25">
      <c r="B102" s="204"/>
      <c r="C102" s="205"/>
      <c r="D102" s="204"/>
      <c r="E102" s="205"/>
      <c r="F102" s="205"/>
      <c r="G102" s="202"/>
      <c r="H102" s="202"/>
      <c r="I102" s="202"/>
      <c r="J102" s="202"/>
      <c r="K102" s="156"/>
      <c r="L102" s="155"/>
      <c r="M102" s="188"/>
      <c r="N102" s="188"/>
      <c r="O102" s="188"/>
      <c r="P102" s="188"/>
      <c r="Q102" s="188"/>
      <c r="R102" s="188"/>
      <c r="S102" s="124"/>
      <c r="T102" s="124"/>
      <c r="U102" s="124"/>
      <c r="V102" s="124"/>
      <c r="W102" s="124"/>
      <c r="X102" s="124"/>
    </row>
    <row r="103" spans="1:25" s="206" customFormat="1" ht="17" thickTop="1" thickBot="1" x14ac:dyDescent="0.25">
      <c r="B103" s="207" t="s">
        <v>181</v>
      </c>
      <c r="C103" s="208"/>
      <c r="D103" s="207">
        <f>D101-D99</f>
        <v>10960</v>
      </c>
      <c r="E103" s="207">
        <f>E101-E99</f>
        <v>-8294</v>
      </c>
      <c r="F103" s="208">
        <f t="shared" ref="F103:R103" si="15">F101-F99</f>
        <v>-11728</v>
      </c>
      <c r="G103" s="198">
        <f t="shared" si="15"/>
        <v>-16306</v>
      </c>
      <c r="H103" s="198">
        <f t="shared" si="15"/>
        <v>32760.890000000014</v>
      </c>
      <c r="I103" s="198">
        <f t="shared" si="15"/>
        <v>54505</v>
      </c>
      <c r="J103" s="198">
        <f t="shared" si="15"/>
        <v>21684</v>
      </c>
      <c r="K103" s="153">
        <f t="shared" si="15"/>
        <v>59600</v>
      </c>
      <c r="L103" s="209">
        <f t="shared" si="15"/>
        <v>-1324</v>
      </c>
      <c r="M103" s="188">
        <f t="shared" si="15"/>
        <v>32481.5</v>
      </c>
      <c r="N103" s="188">
        <f t="shared" si="15"/>
        <v>41066</v>
      </c>
      <c r="O103" s="188">
        <f t="shared" si="15"/>
        <v>32255</v>
      </c>
      <c r="P103" s="188">
        <f t="shared" si="15"/>
        <v>29594</v>
      </c>
      <c r="Q103" s="188">
        <f t="shared" si="15"/>
        <v>15387</v>
      </c>
      <c r="R103" s="188">
        <f t="shared" si="15"/>
        <v>-10016.690000000002</v>
      </c>
      <c r="S103" s="124" t="e">
        <f>#REF!-#REF!</f>
        <v>#REF!</v>
      </c>
      <c r="T103" s="124" t="e">
        <f>#REF!-#REF!</f>
        <v>#REF!</v>
      </c>
      <c r="U103" s="124" t="e">
        <f>#REF!-#REF!</f>
        <v>#REF!</v>
      </c>
      <c r="V103" s="124" t="e">
        <f>#REF!-#REF!</f>
        <v>#REF!</v>
      </c>
      <c r="W103" s="124" t="e">
        <f>#REF!-#REF!</f>
        <v>#REF!</v>
      </c>
      <c r="X103" s="124" t="e">
        <f>#REF!-#REF!</f>
        <v>#REF!</v>
      </c>
      <c r="Y103" s="210"/>
    </row>
    <row r="104" spans="1:25" s="211" customFormat="1" ht="14" thickTop="1" x14ac:dyDescent="0.2">
      <c r="B104" s="212"/>
      <c r="C104" s="213"/>
      <c r="D104" s="212"/>
      <c r="E104" s="213"/>
      <c r="F104" s="213"/>
      <c r="G104" s="214"/>
      <c r="H104" s="214"/>
      <c r="I104" s="214"/>
      <c r="J104" s="214"/>
      <c r="K104" s="215"/>
      <c r="L104" s="216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</row>
    <row r="105" spans="1:25" s="211" customFormat="1" ht="1.25" customHeight="1" x14ac:dyDescent="0.2">
      <c r="B105" s="212"/>
      <c r="C105" s="213"/>
      <c r="D105" s="212"/>
      <c r="E105" s="213"/>
      <c r="F105" s="213"/>
      <c r="G105" s="218"/>
      <c r="H105" s="214"/>
      <c r="I105" s="214"/>
      <c r="J105" s="214"/>
      <c r="K105" s="215"/>
      <c r="L105" s="216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</row>
    <row r="106" spans="1:25" s="211" customFormat="1" ht="14" thickBot="1" x14ac:dyDescent="0.25">
      <c r="B106" s="212"/>
      <c r="C106" s="213"/>
      <c r="D106" s="212"/>
      <c r="E106" s="213"/>
      <c r="F106" s="213"/>
      <c r="G106" s="218"/>
      <c r="H106" s="214"/>
      <c r="I106" s="214"/>
      <c r="J106" s="214"/>
      <c r="K106" s="215"/>
      <c r="L106" s="216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</row>
    <row r="107" spans="1:25" s="219" customFormat="1" ht="16" thickTop="1" x14ac:dyDescent="0.2">
      <c r="B107" s="220" t="s">
        <v>182</v>
      </c>
      <c r="C107" s="221"/>
      <c r="D107" s="220"/>
      <c r="E107" s="221"/>
      <c r="F107" s="222"/>
      <c r="G107" s="223"/>
      <c r="H107" s="223"/>
      <c r="I107" s="223"/>
      <c r="J107" s="223"/>
      <c r="K107" s="224"/>
      <c r="L107" s="225"/>
      <c r="M107" s="226"/>
      <c r="N107" s="226"/>
      <c r="O107" s="226"/>
      <c r="P107" s="227"/>
      <c r="Q107" s="227"/>
      <c r="R107" s="227"/>
      <c r="S107" s="227"/>
      <c r="T107" s="227"/>
      <c r="U107" s="227"/>
      <c r="V107" s="227"/>
      <c r="W107" s="227"/>
      <c r="X107" s="227"/>
    </row>
    <row r="108" spans="1:25" s="126" customFormat="1" ht="14" x14ac:dyDescent="0.2">
      <c r="A108" s="228"/>
      <c r="B108" s="127" t="s">
        <v>183</v>
      </c>
      <c r="C108" s="229"/>
      <c r="D108" s="230"/>
      <c r="E108" s="229"/>
      <c r="F108" s="229"/>
      <c r="G108" s="231"/>
      <c r="H108" s="231"/>
      <c r="I108" s="231"/>
      <c r="J108" s="231"/>
      <c r="K108" s="48"/>
      <c r="L108" s="181"/>
      <c r="M108" s="131"/>
      <c r="N108" s="131"/>
      <c r="O108" s="131"/>
      <c r="P108" s="132"/>
      <c r="Q108" s="132"/>
      <c r="R108" s="132"/>
      <c r="S108" s="132"/>
      <c r="T108" s="132"/>
      <c r="U108" s="132"/>
      <c r="V108" s="132"/>
      <c r="W108" s="132"/>
      <c r="X108" s="132"/>
    </row>
    <row r="109" spans="1:25" s="126" customFormat="1" ht="28" x14ac:dyDescent="0.2">
      <c r="A109" s="228"/>
      <c r="B109" s="127" t="s">
        <v>184</v>
      </c>
      <c r="C109" s="229"/>
      <c r="D109" s="230"/>
      <c r="E109" s="229"/>
      <c r="F109" s="229"/>
      <c r="G109" s="231"/>
      <c r="H109" s="231"/>
      <c r="I109" s="231"/>
      <c r="J109" s="231"/>
      <c r="K109" s="48"/>
      <c r="L109" s="181"/>
      <c r="M109" s="131"/>
      <c r="N109" s="131"/>
      <c r="O109" s="131"/>
      <c r="P109" s="132"/>
      <c r="Q109" s="132"/>
      <c r="R109" s="132"/>
      <c r="S109" s="132"/>
      <c r="T109" s="132"/>
      <c r="U109" s="132"/>
      <c r="V109" s="132"/>
      <c r="W109" s="132"/>
      <c r="X109" s="132"/>
    </row>
    <row r="110" spans="1:25" s="126" customFormat="1" ht="14" x14ac:dyDescent="0.2">
      <c r="A110" s="228"/>
      <c r="B110" s="230" t="s">
        <v>185</v>
      </c>
      <c r="C110" s="229"/>
      <c r="D110" s="230">
        <f>100*74*12+ 20*5*12</f>
        <v>90000</v>
      </c>
      <c r="E110" s="229"/>
      <c r="F110" s="229"/>
      <c r="G110" s="231"/>
      <c r="H110" s="231"/>
      <c r="I110" s="231"/>
      <c r="J110" s="231"/>
      <c r="K110" s="48"/>
      <c r="L110" s="181"/>
      <c r="M110" s="131"/>
      <c r="N110" s="131"/>
      <c r="O110" s="131"/>
      <c r="P110" s="132"/>
      <c r="Q110" s="132"/>
      <c r="R110" s="132"/>
      <c r="S110" s="132"/>
      <c r="T110" s="132"/>
      <c r="U110" s="132"/>
      <c r="V110" s="132"/>
      <c r="W110" s="132"/>
      <c r="X110" s="132"/>
    </row>
    <row r="111" spans="1:25" s="126" customFormat="1" ht="14" x14ac:dyDescent="0.2">
      <c r="A111" s="228"/>
      <c r="B111" s="127" t="s">
        <v>186</v>
      </c>
      <c r="C111" s="229"/>
      <c r="D111" s="230"/>
      <c r="E111" s="229">
        <v>129593</v>
      </c>
      <c r="F111" s="229">
        <f>127540+1500</f>
        <v>129040</v>
      </c>
      <c r="G111" s="231"/>
      <c r="H111" s="231"/>
      <c r="I111" s="231"/>
      <c r="J111" s="231"/>
      <c r="K111" s="48"/>
      <c r="L111" s="181"/>
      <c r="M111" s="131"/>
      <c r="N111" s="131"/>
      <c r="O111" s="131"/>
      <c r="P111" s="132"/>
      <c r="Q111" s="132"/>
      <c r="R111" s="132"/>
      <c r="S111" s="132"/>
      <c r="T111" s="132"/>
      <c r="U111" s="132"/>
      <c r="V111" s="132"/>
      <c r="W111" s="132"/>
      <c r="X111" s="132"/>
    </row>
    <row r="112" spans="1:25" s="126" customFormat="1" ht="14" x14ac:dyDescent="0.2">
      <c r="A112" s="228"/>
      <c r="B112" s="230" t="s">
        <v>187</v>
      </c>
      <c r="C112" s="229"/>
      <c r="D112" s="230">
        <f>50*700</f>
        <v>35000</v>
      </c>
      <c r="E112" s="229">
        <v>25300</v>
      </c>
      <c r="F112" s="229">
        <v>17150</v>
      </c>
      <c r="G112" s="96">
        <v>17500</v>
      </c>
      <c r="H112" s="231"/>
      <c r="I112" s="231"/>
      <c r="J112" s="231"/>
      <c r="K112" s="48"/>
      <c r="L112" s="181"/>
      <c r="M112" s="131"/>
      <c r="N112" s="131"/>
      <c r="O112" s="131"/>
      <c r="P112" s="132"/>
      <c r="Q112" s="132"/>
      <c r="R112" s="132"/>
      <c r="S112" s="132"/>
      <c r="T112" s="132"/>
      <c r="U112" s="132"/>
      <c r="V112" s="132"/>
      <c r="W112" s="132"/>
      <c r="X112" s="132"/>
    </row>
    <row r="113" spans="1:24" s="126" customFormat="1" ht="14" x14ac:dyDescent="0.2">
      <c r="A113" s="228"/>
      <c r="B113" s="230" t="s">
        <v>188</v>
      </c>
      <c r="C113" s="229"/>
      <c r="D113" s="230">
        <f>21*79*12</f>
        <v>19908</v>
      </c>
      <c r="E113" s="229"/>
      <c r="F113" s="229"/>
      <c r="G113" s="232"/>
      <c r="H113" s="231"/>
      <c r="I113" s="231"/>
      <c r="J113" s="231"/>
      <c r="K113" s="48"/>
      <c r="L113" s="181"/>
      <c r="M113" s="131"/>
      <c r="N113" s="131"/>
      <c r="O113" s="131"/>
      <c r="P113" s="132"/>
      <c r="Q113" s="132"/>
      <c r="R113" s="132"/>
      <c r="S113" s="132"/>
      <c r="T113" s="132"/>
      <c r="U113" s="132"/>
      <c r="V113" s="132"/>
      <c r="W113" s="132"/>
      <c r="X113" s="132"/>
    </row>
    <row r="114" spans="1:24" s="126" customFormat="1" ht="14" x14ac:dyDescent="0.2">
      <c r="A114" s="228"/>
      <c r="B114" s="127" t="s">
        <v>189</v>
      </c>
      <c r="C114" s="128"/>
      <c r="D114" s="127"/>
      <c r="E114" s="128"/>
      <c r="F114" s="229"/>
      <c r="G114" s="231"/>
      <c r="H114" s="231">
        <f>74*101*12</f>
        <v>89688</v>
      </c>
      <c r="I114" s="231"/>
      <c r="J114" s="231"/>
      <c r="K114" s="48"/>
      <c r="L114" s="181"/>
      <c r="M114" s="131"/>
      <c r="N114" s="131"/>
      <c r="O114" s="131"/>
      <c r="P114" s="132"/>
      <c r="Q114" s="132"/>
      <c r="R114" s="132"/>
      <c r="S114" s="132"/>
      <c r="T114" s="132"/>
      <c r="U114" s="132"/>
      <c r="V114" s="132"/>
      <c r="W114" s="132"/>
      <c r="X114" s="132"/>
    </row>
    <row r="115" spans="1:24" s="126" customFormat="1" ht="14" x14ac:dyDescent="0.2">
      <c r="A115" s="228"/>
      <c r="B115" s="127" t="s">
        <v>190</v>
      </c>
      <c r="C115" s="128"/>
      <c r="D115" s="127"/>
      <c r="E115" s="128"/>
      <c r="F115" s="229"/>
      <c r="G115" s="231"/>
      <c r="H115" s="231">
        <f>5*20*12</f>
        <v>1200</v>
      </c>
      <c r="I115" s="231"/>
      <c r="J115" s="231"/>
      <c r="K115" s="48"/>
      <c r="L115" s="181"/>
      <c r="M115" s="131"/>
      <c r="N115" s="131"/>
      <c r="O115" s="131"/>
      <c r="P115" s="132"/>
      <c r="Q115" s="132"/>
      <c r="R115" s="132"/>
      <c r="S115" s="132"/>
      <c r="T115" s="132"/>
      <c r="U115" s="132"/>
      <c r="V115" s="132"/>
      <c r="W115" s="132"/>
      <c r="X115" s="132"/>
    </row>
    <row r="116" spans="1:24" s="238" customFormat="1" ht="14" x14ac:dyDescent="0.2">
      <c r="A116" s="233"/>
      <c r="B116" s="234" t="s">
        <v>191</v>
      </c>
      <c r="C116" s="69"/>
      <c r="D116" s="234"/>
      <c r="E116" s="69"/>
      <c r="F116" s="69"/>
      <c r="G116" s="66"/>
      <c r="H116" s="66"/>
      <c r="I116" s="66"/>
      <c r="J116" s="66"/>
      <c r="K116" s="235"/>
      <c r="L116" s="235"/>
      <c r="M116" s="236"/>
      <c r="N116" s="236"/>
      <c r="O116" s="236"/>
      <c r="P116" s="237"/>
      <c r="Q116" s="237"/>
      <c r="R116" s="237"/>
      <c r="S116" s="237"/>
      <c r="T116" s="237"/>
      <c r="U116" s="237"/>
      <c r="V116" s="237"/>
      <c r="W116" s="237"/>
      <c r="X116" s="237"/>
    </row>
    <row r="117" spans="1:24" s="238" customFormat="1" ht="14" x14ac:dyDescent="0.2">
      <c r="A117" s="233"/>
      <c r="B117" s="234" t="s">
        <v>192</v>
      </c>
      <c r="C117" s="69"/>
      <c r="D117" s="234"/>
      <c r="E117" s="69"/>
      <c r="F117" s="69"/>
      <c r="G117" s="66"/>
      <c r="H117" s="66"/>
      <c r="I117" s="66"/>
      <c r="J117" s="66"/>
      <c r="K117" s="235"/>
      <c r="L117" s="235"/>
      <c r="M117" s="236"/>
      <c r="N117" s="236"/>
      <c r="O117" s="236"/>
      <c r="P117" s="237"/>
      <c r="Q117" s="237"/>
      <c r="R117" s="237"/>
      <c r="S117" s="237"/>
      <c r="T117" s="237"/>
      <c r="U117" s="237"/>
      <c r="V117" s="237"/>
      <c r="W117" s="237"/>
      <c r="X117" s="237"/>
    </row>
    <row r="118" spans="1:24" s="103" customFormat="1" ht="14" x14ac:dyDescent="0.2">
      <c r="B118" s="73" t="s">
        <v>193</v>
      </c>
      <c r="C118" s="72"/>
      <c r="D118" s="73"/>
      <c r="E118" s="72"/>
      <c r="F118" s="72"/>
      <c r="G118" s="75"/>
      <c r="H118" s="75"/>
      <c r="I118" s="75"/>
      <c r="J118" s="75"/>
      <c r="K118" s="162"/>
      <c r="L118" s="70"/>
      <c r="M118" s="59"/>
      <c r="N118" s="59"/>
      <c r="O118" s="59"/>
      <c r="P118" s="60"/>
      <c r="Q118" s="60">
        <v>39800</v>
      </c>
      <c r="R118" s="60"/>
      <c r="S118" s="101"/>
      <c r="T118" s="101"/>
      <c r="U118" s="101"/>
      <c r="V118" s="101"/>
      <c r="W118" s="101"/>
      <c r="X118" s="101"/>
    </row>
    <row r="119" spans="1:24" s="103" customFormat="1" ht="14" x14ac:dyDescent="0.2">
      <c r="B119" s="73" t="s">
        <v>194</v>
      </c>
      <c r="C119" s="72"/>
      <c r="D119" s="73"/>
      <c r="E119" s="72"/>
      <c r="F119" s="72"/>
      <c r="G119" s="75"/>
      <c r="H119" s="75"/>
      <c r="I119" s="75"/>
      <c r="J119" s="75"/>
      <c r="K119" s="162"/>
      <c r="L119" s="70"/>
      <c r="M119" s="59"/>
      <c r="N119" s="59">
        <v>79632</v>
      </c>
      <c r="O119" s="59"/>
      <c r="P119" s="60"/>
      <c r="Q119" s="60"/>
      <c r="R119" s="79">
        <v>79004</v>
      </c>
      <c r="S119" s="101"/>
      <c r="T119" s="101"/>
      <c r="U119" s="101"/>
      <c r="V119" s="101"/>
      <c r="W119" s="101"/>
      <c r="X119" s="101"/>
    </row>
    <row r="120" spans="1:24" s="81" customFormat="1" ht="14" x14ac:dyDescent="0.2">
      <c r="B120" s="73" t="s">
        <v>195</v>
      </c>
      <c r="C120" s="72"/>
      <c r="D120" s="73"/>
      <c r="E120" s="72"/>
      <c r="F120" s="72"/>
      <c r="G120" s="75"/>
      <c r="H120" s="75"/>
      <c r="I120" s="75"/>
      <c r="J120" s="75"/>
      <c r="K120" s="162"/>
      <c r="L120" s="70"/>
      <c r="M120" s="59"/>
      <c r="N120" s="59"/>
      <c r="O120" s="59" t="s">
        <v>86</v>
      </c>
      <c r="P120" s="60"/>
      <c r="Q120" s="60"/>
      <c r="R120" s="60"/>
      <c r="S120" s="79">
        <v>76844</v>
      </c>
      <c r="T120" s="79"/>
      <c r="U120" s="79">
        <v>74246.95</v>
      </c>
      <c r="V120" s="79">
        <v>126014</v>
      </c>
      <c r="W120" s="79">
        <v>73830.820000000007</v>
      </c>
      <c r="X120" s="79">
        <v>52300</v>
      </c>
    </row>
    <row r="121" spans="1:24" s="81" customFormat="1" ht="14" x14ac:dyDescent="0.2">
      <c r="B121" s="73" t="s">
        <v>196</v>
      </c>
      <c r="C121" s="72"/>
      <c r="D121" s="73"/>
      <c r="E121" s="72"/>
      <c r="F121" s="72"/>
      <c r="G121" s="75"/>
      <c r="H121" s="75"/>
      <c r="I121" s="75"/>
      <c r="J121" s="75"/>
      <c r="K121" s="162"/>
      <c r="L121" s="70"/>
      <c r="M121" s="59"/>
      <c r="N121" s="59"/>
      <c r="O121" s="59"/>
      <c r="P121" s="60"/>
      <c r="Q121" s="60"/>
      <c r="R121" s="60"/>
      <c r="S121" s="79"/>
      <c r="T121" s="79">
        <v>154214</v>
      </c>
      <c r="U121" s="79"/>
      <c r="V121" s="79"/>
      <c r="W121" s="79"/>
      <c r="X121" s="79"/>
    </row>
    <row r="122" spans="1:24" s="81" customFormat="1" ht="14" x14ac:dyDescent="0.2">
      <c r="B122" s="73" t="s">
        <v>197</v>
      </c>
      <c r="C122" s="72"/>
      <c r="D122" s="73"/>
      <c r="E122" s="72"/>
      <c r="F122" s="72"/>
      <c r="G122" s="75"/>
      <c r="H122" s="75"/>
      <c r="I122" s="75"/>
      <c r="J122" s="75"/>
      <c r="K122" s="162"/>
      <c r="L122" s="70"/>
      <c r="M122" s="59"/>
      <c r="N122" s="59"/>
      <c r="O122" s="59">
        <v>2340</v>
      </c>
      <c r="P122" s="60"/>
      <c r="Q122" s="60"/>
      <c r="R122" s="60"/>
      <c r="S122" s="79"/>
      <c r="T122" s="79"/>
      <c r="U122" s="79"/>
      <c r="V122" s="79"/>
      <c r="W122" s="79"/>
      <c r="X122" s="79"/>
    </row>
    <row r="123" spans="1:24" s="81" customFormat="1" ht="14" x14ac:dyDescent="0.2">
      <c r="B123" s="73" t="s">
        <v>198</v>
      </c>
      <c r="C123" s="72"/>
      <c r="D123" s="73"/>
      <c r="E123" s="72"/>
      <c r="F123" s="72"/>
      <c r="G123" s="75"/>
      <c r="H123" s="75"/>
      <c r="I123" s="75"/>
      <c r="J123" s="75"/>
      <c r="K123" s="162"/>
      <c r="L123" s="70"/>
      <c r="M123" s="59"/>
      <c r="N123" s="59"/>
      <c r="O123" s="59"/>
      <c r="P123" s="60"/>
      <c r="Q123" s="60"/>
      <c r="R123" s="60"/>
      <c r="S123" s="79"/>
      <c r="T123" s="79"/>
      <c r="U123" s="79">
        <v>3500</v>
      </c>
      <c r="V123" s="79">
        <v>3500</v>
      </c>
      <c r="W123" s="79"/>
      <c r="X123" s="79"/>
    </row>
    <row r="124" spans="1:24" s="81" customFormat="1" ht="28" x14ac:dyDescent="0.2">
      <c r="B124" s="73" t="s">
        <v>199</v>
      </c>
      <c r="C124" s="72"/>
      <c r="D124" s="73"/>
      <c r="E124" s="72"/>
      <c r="F124" s="72"/>
      <c r="G124" s="75"/>
      <c r="H124" s="75"/>
      <c r="I124" s="75"/>
      <c r="J124" s="75"/>
      <c r="K124" s="162"/>
      <c r="L124" s="70"/>
      <c r="M124" s="59"/>
      <c r="N124" s="59"/>
      <c r="O124" s="59"/>
      <c r="P124" s="60"/>
      <c r="Q124" s="60"/>
      <c r="R124" s="60"/>
      <c r="S124" s="79"/>
      <c r="T124" s="79">
        <v>7080</v>
      </c>
      <c r="U124" s="79"/>
      <c r="V124" s="79"/>
      <c r="W124" s="79"/>
      <c r="X124" s="79"/>
    </row>
    <row r="125" spans="1:24" s="81" customFormat="1" ht="14" x14ac:dyDescent="0.2">
      <c r="B125" s="73" t="s">
        <v>200</v>
      </c>
      <c r="C125" s="72"/>
      <c r="D125" s="73"/>
      <c r="E125" s="72"/>
      <c r="F125" s="72"/>
      <c r="G125" s="75"/>
      <c r="H125" s="75"/>
      <c r="I125" s="75"/>
      <c r="J125" s="75"/>
      <c r="K125" s="162"/>
      <c r="L125" s="70"/>
      <c r="M125" s="59"/>
      <c r="N125" s="59"/>
      <c r="O125" s="59"/>
      <c r="P125" s="60"/>
      <c r="Q125" s="60"/>
      <c r="R125" s="60"/>
      <c r="S125" s="79"/>
      <c r="T125" s="79"/>
      <c r="U125" s="79"/>
      <c r="V125" s="79"/>
      <c r="W125" s="79"/>
      <c r="X125" s="79"/>
    </row>
    <row r="126" spans="1:24" s="81" customFormat="1" ht="14" x14ac:dyDescent="0.2">
      <c r="B126" s="73" t="s">
        <v>201</v>
      </c>
      <c r="C126" s="72"/>
      <c r="D126" s="73"/>
      <c r="E126" s="72"/>
      <c r="F126" s="72"/>
      <c r="G126" s="239"/>
      <c r="H126" s="72"/>
      <c r="I126" s="72"/>
      <c r="J126" s="72"/>
      <c r="K126" s="240"/>
      <c r="L126" s="241"/>
      <c r="M126" s="59"/>
      <c r="N126" s="59"/>
      <c r="O126" s="59"/>
      <c r="P126" s="60"/>
      <c r="Q126" s="60"/>
      <c r="R126" s="60"/>
      <c r="S126" s="79"/>
      <c r="T126" s="79"/>
      <c r="U126" s="79"/>
      <c r="V126" s="79"/>
      <c r="W126" s="79"/>
      <c r="X126" s="79"/>
    </row>
    <row r="127" spans="1:24" s="81" customFormat="1" ht="14" x14ac:dyDescent="0.2">
      <c r="B127" s="73" t="s">
        <v>202</v>
      </c>
      <c r="C127" s="72"/>
      <c r="D127" s="73"/>
      <c r="E127" s="72"/>
      <c r="F127" s="72"/>
      <c r="G127" s="239"/>
      <c r="H127" s="72"/>
      <c r="I127" s="72"/>
      <c r="J127" s="72"/>
      <c r="K127" s="240"/>
      <c r="L127" s="241"/>
      <c r="M127" s="59"/>
      <c r="N127" s="59"/>
      <c r="O127" s="59"/>
      <c r="P127" s="60" t="s">
        <v>86</v>
      </c>
      <c r="Q127" s="60"/>
      <c r="R127" s="60"/>
      <c r="S127" s="79"/>
      <c r="T127" s="79"/>
      <c r="U127" s="79"/>
      <c r="V127" s="79"/>
      <c r="W127" s="79"/>
      <c r="X127" s="79"/>
    </row>
    <row r="128" spans="1:24" s="81" customFormat="1" ht="14" x14ac:dyDescent="0.2">
      <c r="B128" s="73" t="s">
        <v>203</v>
      </c>
      <c r="C128" s="72"/>
      <c r="D128" s="73"/>
      <c r="E128" s="72"/>
      <c r="F128" s="72"/>
      <c r="G128" s="239"/>
      <c r="H128" s="72"/>
      <c r="I128" s="72"/>
      <c r="J128" s="72"/>
      <c r="K128" s="240"/>
      <c r="L128" s="241"/>
      <c r="M128" s="59"/>
      <c r="N128" s="59"/>
      <c r="O128" s="59"/>
      <c r="P128" s="60"/>
      <c r="Q128" s="60"/>
      <c r="R128" s="60"/>
      <c r="S128" s="79"/>
      <c r="T128" s="79"/>
      <c r="U128" s="79"/>
      <c r="V128" s="79"/>
      <c r="W128" s="79"/>
      <c r="X128" s="79"/>
    </row>
    <row r="129" spans="2:24" s="81" customFormat="1" ht="14" x14ac:dyDescent="0.2">
      <c r="B129" s="73" t="s">
        <v>202</v>
      </c>
      <c r="C129" s="72"/>
      <c r="D129" s="73"/>
      <c r="E129" s="72"/>
      <c r="F129" s="72"/>
      <c r="G129" s="239"/>
      <c r="H129" s="72"/>
      <c r="I129" s="72"/>
      <c r="J129" s="72"/>
      <c r="K129" s="240"/>
      <c r="L129" s="241"/>
      <c r="M129" s="59"/>
      <c r="N129" s="59"/>
      <c r="O129" s="59"/>
      <c r="P129" s="60"/>
      <c r="Q129" s="60"/>
      <c r="R129" s="60"/>
      <c r="S129" s="79"/>
      <c r="T129" s="79"/>
      <c r="U129" s="79"/>
      <c r="V129" s="79"/>
      <c r="W129" s="79"/>
      <c r="X129" s="79"/>
    </row>
    <row r="130" spans="2:24" s="106" customFormat="1" ht="14" x14ac:dyDescent="0.2">
      <c r="B130" s="147" t="s">
        <v>204</v>
      </c>
      <c r="C130" s="150"/>
      <c r="D130" s="147"/>
      <c r="E130" s="150"/>
      <c r="F130" s="150"/>
      <c r="G130" s="242"/>
      <c r="H130" s="150"/>
      <c r="I130" s="150"/>
      <c r="J130" s="150"/>
      <c r="K130" s="243"/>
      <c r="L130" s="244"/>
      <c r="M130" s="185"/>
      <c r="N130" s="185"/>
      <c r="O130" s="185">
        <v>44400</v>
      </c>
      <c r="P130" s="186"/>
      <c r="Q130" s="186"/>
      <c r="R130" s="186"/>
      <c r="S130" s="115"/>
      <c r="T130" s="115"/>
      <c r="U130" s="115"/>
      <c r="V130" s="115"/>
      <c r="W130" s="115"/>
      <c r="X130" s="115"/>
    </row>
    <row r="131" spans="2:24" s="253" customFormat="1" ht="14" thickBot="1" x14ac:dyDescent="0.25">
      <c r="B131" s="245"/>
      <c r="C131" s="246"/>
      <c r="D131" s="245"/>
      <c r="E131" s="246"/>
      <c r="F131" s="246"/>
      <c r="G131" s="247"/>
      <c r="H131" s="246"/>
      <c r="I131" s="246"/>
      <c r="J131" s="246"/>
      <c r="K131" s="248"/>
      <c r="L131" s="249"/>
      <c r="M131" s="250"/>
      <c r="N131" s="250"/>
      <c r="O131" s="250"/>
      <c r="P131" s="251"/>
      <c r="Q131" s="251"/>
      <c r="R131" s="251"/>
      <c r="S131" s="252"/>
      <c r="T131" s="252"/>
      <c r="U131" s="252"/>
      <c r="V131" s="252"/>
      <c r="W131" s="252"/>
      <c r="X131" s="252"/>
    </row>
    <row r="132" spans="2:24" s="117" customFormat="1" ht="17" thickTop="1" thickBot="1" x14ac:dyDescent="0.25">
      <c r="B132" s="254" t="s">
        <v>205</v>
      </c>
      <c r="C132" s="255"/>
      <c r="D132" s="254">
        <f>SUM(D110:D113)</f>
        <v>144908</v>
      </c>
      <c r="E132" s="255">
        <f>SUM(E111:E113)</f>
        <v>154893</v>
      </c>
      <c r="F132" s="255">
        <f>SUM(F111:F112)</f>
        <v>146190</v>
      </c>
      <c r="G132" s="256">
        <v>109544</v>
      </c>
      <c r="H132" s="255">
        <v>90468</v>
      </c>
      <c r="I132" s="255">
        <v>88549</v>
      </c>
      <c r="J132" s="255">
        <v>43550</v>
      </c>
      <c r="K132" s="154">
        <v>49024</v>
      </c>
      <c r="L132" s="257">
        <f>SUM(L116:L130)</f>
        <v>0</v>
      </c>
      <c r="M132" s="124"/>
      <c r="N132" s="124">
        <f>SUM(N118:N130)</f>
        <v>79632</v>
      </c>
      <c r="O132" s="124">
        <f>SUM(O118:O130)</f>
        <v>46740</v>
      </c>
      <c r="P132" s="124">
        <f>SUM(P118:P130)</f>
        <v>0</v>
      </c>
      <c r="Q132" s="124">
        <f>SUM(Q118:Q125)</f>
        <v>39800</v>
      </c>
      <c r="R132" s="124">
        <f>SUM(R118:R125)</f>
        <v>79004</v>
      </c>
      <c r="S132" s="124">
        <f>SUM(S120:S125)</f>
        <v>76844</v>
      </c>
      <c r="T132" s="124">
        <f>SUM(T118:T125)</f>
        <v>161294</v>
      </c>
      <c r="U132" s="124">
        <f t="shared" ref="U132:X132" si="16">SUM(U120:U125)</f>
        <v>77746.95</v>
      </c>
      <c r="V132" s="124">
        <f t="shared" si="16"/>
        <v>129514</v>
      </c>
      <c r="W132" s="124">
        <f t="shared" si="16"/>
        <v>73830.820000000007</v>
      </c>
      <c r="X132" s="124">
        <f t="shared" si="16"/>
        <v>52300</v>
      </c>
    </row>
    <row r="133" spans="2:24" s="262" customFormat="1" ht="16" thickTop="1" thickBot="1" x14ac:dyDescent="0.25">
      <c r="B133" s="258"/>
      <c r="C133" s="259"/>
      <c r="D133" s="258"/>
      <c r="E133" s="259"/>
      <c r="F133" s="259"/>
      <c r="G133" s="260"/>
      <c r="H133" s="259"/>
      <c r="I133" s="259"/>
      <c r="J133" s="259"/>
      <c r="K133" s="213"/>
      <c r="L133" s="214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</row>
    <row r="134" spans="2:24" s="189" customFormat="1" ht="17" thickTop="1" thickBot="1" x14ac:dyDescent="0.25">
      <c r="B134" s="263" t="s">
        <v>206</v>
      </c>
      <c r="C134" s="264"/>
      <c r="D134" s="263">
        <v>90000</v>
      </c>
      <c r="E134" s="264">
        <v>17559</v>
      </c>
      <c r="F134" s="264">
        <f>121559+14610+10000+2495</f>
        <v>148664</v>
      </c>
      <c r="G134" s="264">
        <v>157832</v>
      </c>
      <c r="H134" s="264">
        <v>98093</v>
      </c>
      <c r="I134" s="264">
        <v>77055</v>
      </c>
      <c r="J134" s="264">
        <v>94075</v>
      </c>
      <c r="K134" s="265"/>
      <c r="L134" s="266"/>
      <c r="M134" s="267"/>
      <c r="N134" s="267"/>
      <c r="O134" s="268"/>
      <c r="P134" s="269"/>
      <c r="Q134" s="269"/>
      <c r="R134" s="269"/>
      <c r="S134" s="270"/>
      <c r="T134" s="270"/>
      <c r="U134" s="270"/>
      <c r="V134" s="270"/>
      <c r="W134" s="270"/>
      <c r="X134" s="270"/>
    </row>
    <row r="135" spans="2:24" ht="16" thickTop="1" thickBot="1" x14ac:dyDescent="0.25">
      <c r="B135" s="271"/>
      <c r="C135" s="272"/>
      <c r="D135" s="271"/>
      <c r="E135" s="272"/>
      <c r="F135" s="273"/>
      <c r="G135" s="273"/>
      <c r="H135" s="273"/>
      <c r="I135" s="273"/>
      <c r="J135" s="273"/>
      <c r="K135" s="274"/>
      <c r="L135" s="275"/>
    </row>
    <row r="136" spans="2:24" s="189" customFormat="1" ht="17" thickTop="1" thickBot="1" x14ac:dyDescent="0.25">
      <c r="B136" s="263" t="s">
        <v>207</v>
      </c>
      <c r="C136" s="264"/>
      <c r="D136" s="263">
        <f>D132-D134</f>
        <v>54908</v>
      </c>
      <c r="E136" s="264"/>
      <c r="F136" s="264">
        <f t="shared" ref="F136:H136" si="17">F132-F134</f>
        <v>-2474</v>
      </c>
      <c r="G136" s="264">
        <f t="shared" si="17"/>
        <v>-48288</v>
      </c>
      <c r="H136" s="264">
        <f t="shared" si="17"/>
        <v>-7625</v>
      </c>
      <c r="I136" s="264">
        <f>I132-I134</f>
        <v>11494</v>
      </c>
      <c r="J136" s="264">
        <f>J132-J134</f>
        <v>-50525</v>
      </c>
      <c r="K136" s="265"/>
      <c r="L136" s="266"/>
      <c r="M136" s="267"/>
      <c r="N136" s="267"/>
      <c r="O136" s="268"/>
      <c r="P136" s="269"/>
      <c r="Q136" s="269"/>
      <c r="R136" s="269"/>
      <c r="S136" s="270"/>
      <c r="T136" s="270"/>
      <c r="U136" s="270" t="s">
        <v>86</v>
      </c>
      <c r="V136" s="270"/>
      <c r="W136" s="270"/>
      <c r="X136" s="270"/>
    </row>
    <row r="137" spans="2:24" ht="16" thickTop="1" thickBot="1" x14ac:dyDescent="0.25">
      <c r="B137" s="281"/>
      <c r="C137" s="129"/>
      <c r="D137" s="281"/>
      <c r="E137" s="129"/>
      <c r="F137" s="282"/>
      <c r="G137" s="282"/>
      <c r="H137" s="282"/>
      <c r="I137" s="282"/>
      <c r="J137" s="282"/>
      <c r="K137" s="48"/>
      <c r="L137" s="181"/>
    </row>
    <row r="138" spans="2:24" s="189" customFormat="1" ht="17" thickTop="1" thickBot="1" x14ac:dyDescent="0.25">
      <c r="B138" s="263" t="s">
        <v>208</v>
      </c>
      <c r="C138" s="264"/>
      <c r="D138" s="263">
        <f>SUM(D103,D136)</f>
        <v>65868</v>
      </c>
      <c r="E138" s="264"/>
      <c r="F138" s="283">
        <f t="shared" ref="F138:J138" si="18">SUM(F103,F136)</f>
        <v>-14202</v>
      </c>
      <c r="G138" s="283">
        <f t="shared" si="18"/>
        <v>-64594</v>
      </c>
      <c r="H138" s="283">
        <f t="shared" si="18"/>
        <v>25135.890000000014</v>
      </c>
      <c r="I138" s="283">
        <f t="shared" si="18"/>
        <v>65999</v>
      </c>
      <c r="J138" s="283">
        <f t="shared" si="18"/>
        <v>-28841</v>
      </c>
      <c r="K138" s="284"/>
      <c r="L138" s="284"/>
      <c r="M138" s="267"/>
      <c r="N138" s="267"/>
      <c r="O138" s="268"/>
      <c r="P138" s="269" t="s">
        <v>86</v>
      </c>
      <c r="Q138" s="269"/>
      <c r="R138" s="269"/>
      <c r="S138" s="270"/>
      <c r="T138" s="270"/>
      <c r="U138" s="270"/>
      <c r="V138" s="270"/>
      <c r="W138" s="270"/>
      <c r="X138" s="270"/>
    </row>
    <row r="139" spans="2:24" ht="16" thickTop="1" x14ac:dyDescent="0.2">
      <c r="B139" s="285"/>
      <c r="C139" s="286"/>
      <c r="D139" s="285"/>
      <c r="E139" s="286"/>
      <c r="F139" s="286"/>
      <c r="G139" s="287"/>
      <c r="H139" s="286"/>
    </row>
    <row r="141" spans="2:24" ht="15" x14ac:dyDescent="0.2">
      <c r="B141" s="291" t="s">
        <v>209</v>
      </c>
      <c r="D141" s="292">
        <v>90000</v>
      </c>
      <c r="F141" s="288">
        <f>F134-F144</f>
        <v>27205</v>
      </c>
      <c r="G141" s="288">
        <f>G134-G144</f>
        <v>35862</v>
      </c>
    </row>
    <row r="142" spans="2:24" ht="15" x14ac:dyDescent="0.2">
      <c r="B142" s="291" t="s">
        <v>210</v>
      </c>
      <c r="D142" s="292">
        <v>-90000</v>
      </c>
    </row>
    <row r="143" spans="2:24" x14ac:dyDescent="0.2">
      <c r="I143" s="288">
        <f>74*100*12+5*20*12</f>
        <v>90000</v>
      </c>
    </row>
    <row r="144" spans="2:24" ht="17" x14ac:dyDescent="0.2">
      <c r="B144" s="293" t="s">
        <v>211</v>
      </c>
      <c r="D144" s="292">
        <f>D110+D112+D113-D134</f>
        <v>54908</v>
      </c>
      <c r="E144" s="288">
        <f>21*79*12+25300</f>
        <v>45208</v>
      </c>
      <c r="F144" s="288">
        <v>121459</v>
      </c>
      <c r="G144" s="288">
        <v>121970</v>
      </c>
    </row>
    <row r="146" spans="2:7" ht="17" x14ac:dyDescent="0.2">
      <c r="B146" s="293" t="s">
        <v>212</v>
      </c>
      <c r="F146" s="288">
        <v>-121459</v>
      </c>
      <c r="G146" s="288">
        <f>-121970</f>
        <v>-121970</v>
      </c>
    </row>
    <row r="148" spans="2:7" ht="15" x14ac:dyDescent="0.2">
      <c r="B148" s="291" t="s">
        <v>213</v>
      </c>
      <c r="D148" s="292">
        <f>D144</f>
        <v>54908</v>
      </c>
    </row>
  </sheetData>
  <printOptions gridLines="1"/>
  <pageMargins left="0.25" right="0.25" top="0.25" bottom="0.25" header="0" footer="0"/>
  <pageSetup scale="48" fitToHeight="2" orientation="landscape" blackAndWhite="1" r:id="rId1"/>
  <rowBreaks count="1" manualBreakCount="1">
    <brk id="78" min="1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Draft</vt:lpstr>
      <vt:lpstr>Design</vt:lpstr>
      <vt:lpstr>Slip Count</vt:lpstr>
      <vt:lpstr>Component Costs</vt:lpstr>
      <vt:lpstr>Boat Lengths</vt:lpstr>
      <vt:lpstr>Historical Expenses Pool-Marina</vt:lpstr>
      <vt:lpstr>WVHA Budget History</vt:lpstr>
      <vt:lpstr>'WVHA Budget History'!Print_Area</vt:lpstr>
      <vt:lpstr>'WVHA Budget History'!Print_Titles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 Seelbach</dc:creator>
  <cp:lastModifiedBy>Rocky Seelbach</cp:lastModifiedBy>
  <dcterms:created xsi:type="dcterms:W3CDTF">2024-11-15T15:38:07Z</dcterms:created>
  <dcterms:modified xsi:type="dcterms:W3CDTF">2025-02-02T15:36:55Z</dcterms:modified>
</cp:coreProperties>
</file>