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elbach/Library/Mobile Documents/com~apple~CloudDocs/WVHA/Waterfront 2023/"/>
    </mc:Choice>
  </mc:AlternateContent>
  <xr:revisionPtr revIDLastSave="0" documentId="8_{5575B4EC-433A-284D-999C-ACB87A2EEFFA}" xr6:coauthVersionLast="47" xr6:coauthVersionMax="47" xr10:uidLastSave="{00000000-0000-0000-0000-000000000000}"/>
  <bookViews>
    <workbookView xWindow="-15920" yWindow="2120" windowWidth="27640" windowHeight="16940" xr2:uid="{6214E969-4222-AD44-8EFA-0D7965EBA2DF}"/>
  </bookViews>
  <sheets>
    <sheet name="WVHA Budget &amp; Actuals" sheetId="2" r:id="rId1"/>
    <sheet name="Sheet1" sheetId="1" r:id="rId2"/>
  </sheets>
  <definedNames>
    <definedName name="_xlnm.Print_Area" localSheetId="0">'WVHA Budget &amp; Actuals'!$B$1:$O$101</definedName>
    <definedName name="_xlnm.Print_Titles" localSheetId="0">'WVHA Budget &amp; Actuals'!$1:$2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E6" i="2"/>
  <c r="G7" i="2"/>
  <c r="M8" i="2"/>
  <c r="M98" i="2" s="1"/>
  <c r="M100" i="2" s="1"/>
  <c r="K9" i="2"/>
  <c r="K38" i="2" s="1"/>
  <c r="K98" i="2" s="1"/>
  <c r="K100" i="2" s="1"/>
  <c r="I10" i="2"/>
  <c r="I38" i="2" s="1"/>
  <c r="I98" i="2" s="1"/>
  <c r="O11" i="2"/>
  <c r="O38" i="2" s="1"/>
  <c r="Q12" i="2"/>
  <c r="C19" i="2"/>
  <c r="C38" i="2" s="1"/>
  <c r="C98" i="2" s="1"/>
  <c r="E20" i="2"/>
  <c r="E38" i="2" s="1"/>
  <c r="E98" i="2" s="1"/>
  <c r="E100" i="2" s="1"/>
  <c r="G21" i="2"/>
  <c r="M22" i="2"/>
  <c r="I23" i="2"/>
  <c r="K24" i="2"/>
  <c r="O25" i="2"/>
  <c r="Q26" i="2"/>
  <c r="Q38" i="2" s="1"/>
  <c r="M31" i="2"/>
  <c r="O31" i="2"/>
  <c r="I32" i="2"/>
  <c r="M35" i="2"/>
  <c r="O35" i="2"/>
  <c r="H37" i="2"/>
  <c r="F38" i="2"/>
  <c r="G38" i="2"/>
  <c r="H38" i="2"/>
  <c r="H98" i="2" s="1"/>
  <c r="J38" i="2"/>
  <c r="J98" i="2" s="1"/>
  <c r="J100" i="2" s="1"/>
  <c r="L38" i="2"/>
  <c r="N38" i="2"/>
  <c r="P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C43" i="2"/>
  <c r="C48" i="2" s="1"/>
  <c r="D43" i="2"/>
  <c r="D48" i="2" s="1"/>
  <c r="H43" i="2"/>
  <c r="U43" i="2"/>
  <c r="AD43" i="2"/>
  <c r="C44" i="2"/>
  <c r="D44" i="2"/>
  <c r="U44" i="2"/>
  <c r="AB44" i="2"/>
  <c r="AD44" i="2"/>
  <c r="H46" i="2"/>
  <c r="C47" i="2"/>
  <c r="D47" i="2"/>
  <c r="E48" i="2"/>
  <c r="E96" i="2" s="1"/>
  <c r="F48" i="2"/>
  <c r="F96" i="2" s="1"/>
  <c r="G48" i="2"/>
  <c r="G96" i="2" s="1"/>
  <c r="H48" i="2"/>
  <c r="H96" i="2" s="1"/>
  <c r="I48" i="2"/>
  <c r="J48" i="2"/>
  <c r="K48" i="2"/>
  <c r="K96" i="2" s="1"/>
  <c r="L48" i="2"/>
  <c r="M48" i="2"/>
  <c r="N48" i="2"/>
  <c r="N96" i="2" s="1"/>
  <c r="O48" i="2"/>
  <c r="P48" i="2"/>
  <c r="P96" i="2" s="1"/>
  <c r="Q48" i="2"/>
  <c r="Q96" i="2" s="1"/>
  <c r="R48" i="2"/>
  <c r="R96" i="2" s="1"/>
  <c r="S48" i="2"/>
  <c r="T48" i="2"/>
  <c r="U48" i="2"/>
  <c r="U96" i="2" s="1"/>
  <c r="U100" i="2" s="1"/>
  <c r="V48" i="2"/>
  <c r="W48" i="2"/>
  <c r="X48" i="2"/>
  <c r="X96" i="2" s="1"/>
  <c r="Y48" i="2"/>
  <c r="Y96" i="2" s="1"/>
  <c r="Z48" i="2"/>
  <c r="Z96" i="2" s="1"/>
  <c r="AA48" i="2"/>
  <c r="AA96" i="2" s="1"/>
  <c r="AB48" i="2"/>
  <c r="AB96" i="2" s="1"/>
  <c r="AC48" i="2"/>
  <c r="AD48" i="2"/>
  <c r="AE48" i="2"/>
  <c r="AE96" i="2" s="1"/>
  <c r="AE98" i="2" s="1"/>
  <c r="AF48" i="2"/>
  <c r="AG48" i="2"/>
  <c r="AH48" i="2"/>
  <c r="AI48" i="2"/>
  <c r="AI96" i="2" s="1"/>
  <c r="AI98" i="2" s="1"/>
  <c r="AJ48" i="2"/>
  <c r="AJ96" i="2" s="1"/>
  <c r="AK48" i="2"/>
  <c r="AK96" i="2" s="1"/>
  <c r="AK98" i="2" s="1"/>
  <c r="AL48" i="2"/>
  <c r="AL96" i="2" s="1"/>
  <c r="AL98" i="2" s="1"/>
  <c r="AM48" i="2"/>
  <c r="AB53" i="2"/>
  <c r="AO54" i="2"/>
  <c r="AH55" i="2"/>
  <c r="AO55" i="2"/>
  <c r="AO56" i="2"/>
  <c r="AO57" i="2"/>
  <c r="AO58" i="2"/>
  <c r="AH59" i="2"/>
  <c r="AH63" i="2" s="1"/>
  <c r="AO59" i="2"/>
  <c r="F60" i="2"/>
  <c r="AO60" i="2"/>
  <c r="AO61" i="2"/>
  <c r="AO62" i="2"/>
  <c r="C63" i="2"/>
  <c r="E63" i="2"/>
  <c r="F63" i="2"/>
  <c r="G63" i="2"/>
  <c r="H63" i="2"/>
  <c r="I63" i="2"/>
  <c r="I96" i="2" s="1"/>
  <c r="J63" i="2"/>
  <c r="K63" i="2"/>
  <c r="L63" i="2"/>
  <c r="L96" i="2" s="1"/>
  <c r="L100" i="2" s="1"/>
  <c r="M63" i="2"/>
  <c r="N63" i="2"/>
  <c r="O63" i="2"/>
  <c r="P63" i="2"/>
  <c r="Q63" i="2"/>
  <c r="R63" i="2"/>
  <c r="S63" i="2"/>
  <c r="S96" i="2" s="1"/>
  <c r="S100" i="2" s="1"/>
  <c r="T63" i="2"/>
  <c r="U63" i="2"/>
  <c r="V63" i="2"/>
  <c r="V96" i="2" s="1"/>
  <c r="V100" i="2" s="1"/>
  <c r="W63" i="2"/>
  <c r="X63" i="2"/>
  <c r="Y63" i="2"/>
  <c r="Z63" i="2"/>
  <c r="AA63" i="2"/>
  <c r="AB63" i="2"/>
  <c r="AC63" i="2"/>
  <c r="AC96" i="2" s="1"/>
  <c r="AD63" i="2"/>
  <c r="AE63" i="2"/>
  <c r="AF63" i="2"/>
  <c r="AF96" i="2" s="1"/>
  <c r="AF98" i="2" s="1"/>
  <c r="AG63" i="2"/>
  <c r="AI63" i="2"/>
  <c r="AJ63" i="2"/>
  <c r="AK63" i="2"/>
  <c r="AL63" i="2"/>
  <c r="AM63" i="2"/>
  <c r="AM96" i="2" s="1"/>
  <c r="AN66" i="2"/>
  <c r="AO66" i="2"/>
  <c r="C67" i="2"/>
  <c r="C75" i="2" s="1"/>
  <c r="AN67" i="2"/>
  <c r="AO67" i="2"/>
  <c r="AN68" i="2"/>
  <c r="AO68" i="2"/>
  <c r="C69" i="2"/>
  <c r="AN69" i="2"/>
  <c r="AO69" i="2"/>
  <c r="AN70" i="2"/>
  <c r="AO70" i="2"/>
  <c r="AN71" i="2"/>
  <c r="AO71" i="2"/>
  <c r="E72" i="2"/>
  <c r="G72" i="2"/>
  <c r="M72" i="2"/>
  <c r="AO72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C84" i="2"/>
  <c r="P89" i="2"/>
  <c r="H92" i="2"/>
  <c r="C94" i="2"/>
  <c r="E94" i="2"/>
  <c r="F94" i="2"/>
  <c r="G94" i="2"/>
  <c r="H94" i="2"/>
  <c r="I94" i="2"/>
  <c r="J94" i="2"/>
  <c r="K94" i="2"/>
  <c r="L94" i="2"/>
  <c r="M94" i="2"/>
  <c r="N94" i="2"/>
  <c r="O94" i="2"/>
  <c r="O96" i="2" s="1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C98" i="2" s="1"/>
  <c r="AD94" i="2"/>
  <c r="AE94" i="2"/>
  <c r="AF94" i="2"/>
  <c r="AG94" i="2"/>
  <c r="AH94" i="2"/>
  <c r="AI94" i="2"/>
  <c r="AJ94" i="2"/>
  <c r="AJ98" i="2" s="1"/>
  <c r="AK94" i="2"/>
  <c r="AL94" i="2"/>
  <c r="AM94" i="2"/>
  <c r="AM98" i="2" s="1"/>
  <c r="J96" i="2"/>
  <c r="M96" i="2"/>
  <c r="T96" i="2"/>
  <c r="T100" i="2" s="1"/>
  <c r="W96" i="2"/>
  <c r="AD96" i="2"/>
  <c r="AD98" i="2" s="1"/>
  <c r="AG96" i="2"/>
  <c r="AG98" i="2" s="1"/>
  <c r="F98" i="2"/>
  <c r="F100" i="2" s="1"/>
  <c r="G98" i="2"/>
  <c r="G100" i="2" s="1"/>
  <c r="N98" i="2"/>
  <c r="N100" i="2" s="1"/>
  <c r="O98" i="2"/>
  <c r="O100" i="2" s="1"/>
  <c r="P98" i="2"/>
  <c r="P100" i="2" s="1"/>
  <c r="R98" i="2"/>
  <c r="S98" i="2"/>
  <c r="T98" i="2"/>
  <c r="U98" i="2"/>
  <c r="V98" i="2"/>
  <c r="W98" i="2"/>
  <c r="W100" i="2" s="1"/>
  <c r="X98" i="2"/>
  <c r="X100" i="2" s="1"/>
  <c r="Y98" i="2"/>
  <c r="Y100" i="2" s="1"/>
  <c r="Z98" i="2"/>
  <c r="Z100" i="2" s="1"/>
  <c r="AA98" i="2"/>
  <c r="AA100" i="2" s="1"/>
  <c r="AB98" i="2"/>
  <c r="AC100" i="2"/>
  <c r="AD100" i="2"/>
  <c r="AE100" i="2"/>
  <c r="AF100" i="2"/>
  <c r="AG100" i="2"/>
  <c r="AH100" i="2"/>
  <c r="AI100" i="2"/>
  <c r="AJ100" i="2"/>
  <c r="AK100" i="2"/>
  <c r="AL100" i="2"/>
  <c r="AM100" i="2"/>
  <c r="G105" i="2"/>
  <c r="G106" i="2"/>
  <c r="C107" i="2"/>
  <c r="C126" i="2" s="1"/>
  <c r="C108" i="2"/>
  <c r="E109" i="2"/>
  <c r="G109" i="2"/>
  <c r="H109" i="2"/>
  <c r="I109" i="2"/>
  <c r="K109" i="2"/>
  <c r="E110" i="2"/>
  <c r="E126" i="2" s="1"/>
  <c r="E129" i="2" s="1"/>
  <c r="G110" i="2"/>
  <c r="H110" i="2"/>
  <c r="I126" i="2" s="1"/>
  <c r="I110" i="2"/>
  <c r="K110" i="2"/>
  <c r="O111" i="2"/>
  <c r="O112" i="2"/>
  <c r="M115" i="2"/>
  <c r="G126" i="2"/>
  <c r="G129" i="2" s="1"/>
  <c r="O126" i="2"/>
  <c r="P126" i="2"/>
  <c r="Q126" i="2"/>
  <c r="T126" i="2"/>
  <c r="U126" i="2"/>
  <c r="V126" i="2"/>
  <c r="W126" i="2"/>
  <c r="X126" i="2"/>
  <c r="Y126" i="2"/>
  <c r="Z126" i="2"/>
  <c r="AA126" i="2"/>
  <c r="AB126" i="2"/>
  <c r="AD126" i="2"/>
  <c r="AE126" i="2"/>
  <c r="AF126" i="2"/>
  <c r="AG126" i="2"/>
  <c r="AH126" i="2"/>
  <c r="AI126" i="2"/>
  <c r="AJ126" i="2"/>
  <c r="AK126" i="2"/>
  <c r="AL126" i="2"/>
  <c r="AM126" i="2"/>
  <c r="F129" i="2"/>
  <c r="H129" i="2"/>
  <c r="J129" i="2"/>
  <c r="L129" i="2"/>
  <c r="I100" i="2" l="1"/>
  <c r="H100" i="2"/>
  <c r="AH96" i="2"/>
  <c r="AH98" i="2" s="1"/>
  <c r="C96" i="2"/>
  <c r="C100" i="2"/>
  <c r="AB100" i="2"/>
  <c r="R100" i="2"/>
  <c r="Q98" i="2"/>
  <c r="Q100" i="2" s="1"/>
  <c r="M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 Sheldon</author>
  </authors>
  <commentList>
    <comment ref="D43" authorId="0" shapeId="0" xr:uid="{28F0B14C-EE72-6343-AC71-6BB2647966DA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May 7- estimates wi/out temporary employees (~$8000)?
</t>
        </r>
      </text>
    </comment>
    <comment ref="F43" authorId="0" shapeId="0" xr:uid="{4A969166-679D-534D-9729-9CFFDF58F0C0}">
      <text>
        <r>
          <rPr>
            <b/>
            <sz val="9"/>
            <color rgb="FF000000"/>
            <rFont val="Tahoma"/>
            <family val="2"/>
          </rPr>
          <t>Bernard Sheldon: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Virg- 49898
</t>
        </r>
        <r>
          <rPr>
            <sz val="9"/>
            <color rgb="FF000000"/>
            <rFont val="Tahoma"/>
            <family val="2"/>
          </rPr>
          <t xml:space="preserve">Todd- 37440
</t>
        </r>
        <r>
          <rPr>
            <sz val="9"/>
            <color rgb="FF000000"/>
            <rFont val="Tahoma"/>
            <family val="2"/>
          </rPr>
          <t>Jorin- 1075</t>
        </r>
      </text>
    </comment>
    <comment ref="F45" authorId="0" shapeId="0" xr:uid="{97E347E1-8668-BE4A-81C7-25B926476CA0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Virg- 1299
Tpdd- 866</t>
        </r>
      </text>
    </comment>
    <comment ref="F46" authorId="0" shapeId="0" xr:uid="{64E44748-161A-514C-9F6A-E97E0C90417A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Virg- 750 
Todd- 216 + 187</t>
        </r>
      </text>
    </comment>
    <comment ref="M47" authorId="0" shapeId="0" xr:uid="{16C694EF-2BD2-E74F-99CF-BAE0C70A24AC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Included in Payroll Taxes 
</t>
        </r>
      </text>
    </comment>
    <comment ref="F60" authorId="0" shapeId="0" xr:uid="{8D6B7166-0707-424A-8F84-5FF4C2D931E5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Miscellaneous- $275
Other- $821</t>
        </r>
      </text>
    </comment>
    <comment ref="G84" authorId="0" shapeId="0" xr:uid="{2C246BDC-D644-814A-85BB-4A8988A400DA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Actual 2022 cost
</t>
        </r>
      </text>
    </comment>
    <comment ref="F127" authorId="0" shapeId="0" xr:uid="{3DACD519-B346-6C46-B4CD-53DDC0953C10}">
      <text>
        <r>
          <rPr>
            <b/>
            <sz val="9"/>
            <color indexed="81"/>
            <rFont val="Tahoma"/>
            <family val="2"/>
          </rPr>
          <t>Bernard Sheldon:</t>
        </r>
        <r>
          <rPr>
            <sz val="9"/>
            <color indexed="81"/>
            <rFont val="Tahoma"/>
            <family val="2"/>
          </rPr>
          <t xml:space="preserve">
marina 121970, barn baths 18121, barn exterior 2220, patio furn 1844, curbing 1798, Aerator 12000</t>
        </r>
      </text>
    </comment>
  </commentList>
</comments>
</file>

<file path=xl/sharedStrings.xml><?xml version="1.0" encoding="utf-8"?>
<sst xmlns="http://schemas.openxmlformats.org/spreadsheetml/2006/main" count="195" uniqueCount="121">
  <si>
    <t xml:space="preserve"> </t>
  </si>
  <si>
    <t>Capital Reserve Annual Net</t>
  </si>
  <si>
    <t>Capital Spend</t>
  </si>
  <si>
    <t xml:space="preserve">  Capital Revenue </t>
  </si>
  <si>
    <t>Repair Assessment 74 @ 50 Mo $600</t>
  </si>
  <si>
    <t>Repair Assessment 5 home owners @ 14 Mo $156</t>
  </si>
  <si>
    <t>Repair Assessment 74 @ 0 Mo $0</t>
  </si>
  <si>
    <t>Repair Assessment 74 @ 54 Mo $648</t>
  </si>
  <si>
    <t>Repair Assessment 74 @ 42 Mo $504</t>
  </si>
  <si>
    <t>Repair Assessment 5 home owners @ 118 Mo $1416</t>
  </si>
  <si>
    <t>Repair Assessment 5 home owners @ 59 Mo $708</t>
  </si>
  <si>
    <t>Repair Assessment 5 home owners @ 39 Mo $468</t>
  </si>
  <si>
    <t>Repair Assessment 74 @ 168 Mo $2016</t>
  </si>
  <si>
    <t>Repair Assessment 74 @ 84 Mo $1008</t>
  </si>
  <si>
    <t>Repair Assessment 79 @ 84 Mo $1008</t>
  </si>
  <si>
    <t>Repair Assessment 79 @ 42 Mo $504</t>
  </si>
  <si>
    <t>Siding Assessment  74 @ $17/ Mo: $204/Yr</t>
  </si>
  <si>
    <t>Slip Assessment      79 @ $37/ Mo: $444/Yr</t>
  </si>
  <si>
    <t>INCOME 5 Homes</t>
  </si>
  <si>
    <t>INCOME 74 condos</t>
  </si>
  <si>
    <t>Marina Lease Fees</t>
  </si>
  <si>
    <t>INCOME 79 Units @$137</t>
  </si>
  <si>
    <t xml:space="preserve"> 74 condos- building repairs 
(Coyote roofs)- $81K</t>
  </si>
  <si>
    <t>79 owners- marina repairs, tennis court- $40</t>
  </si>
  <si>
    <t>Capital Revenue (Assessments)</t>
  </si>
  <si>
    <t>Net Operations Balance</t>
  </si>
  <si>
    <t xml:space="preserve">Total Operating Revenue </t>
  </si>
  <si>
    <t>Total Operating Expenditures</t>
  </si>
  <si>
    <t xml:space="preserve">    Other Costs  Subtotal </t>
  </si>
  <si>
    <t>Property Tax, Tax Prep, etc</t>
  </si>
  <si>
    <t>Postage and PO Box Rent</t>
  </si>
  <si>
    <t>Licenses and Permit</t>
  </si>
  <si>
    <t>Supplies: Other</t>
  </si>
  <si>
    <t>Office Supplies (&amp; equipment)</t>
  </si>
  <si>
    <t>Shop Supplies</t>
  </si>
  <si>
    <t>Legal</t>
  </si>
  <si>
    <t>Fines</t>
  </si>
  <si>
    <t>Interest (and late fees)</t>
  </si>
  <si>
    <t>Insurance</t>
  </si>
  <si>
    <t>Contributions</t>
  </si>
  <si>
    <t>Income Tax</t>
  </si>
  <si>
    <t>Events</t>
  </si>
  <si>
    <t>Dues</t>
  </si>
  <si>
    <t>Bank Fees</t>
  </si>
  <si>
    <t>Accounting</t>
  </si>
  <si>
    <t xml:space="preserve">     Other Costs</t>
  </si>
  <si>
    <t>Utilities Subtotal</t>
  </si>
  <si>
    <t>Telephone-Long Distance</t>
  </si>
  <si>
    <t>Telephone</t>
  </si>
  <si>
    <t xml:space="preserve">Internet  </t>
  </si>
  <si>
    <t>Cable</t>
  </si>
  <si>
    <t>Garbage and Recycle</t>
  </si>
  <si>
    <t>Sewer</t>
  </si>
  <si>
    <t>Pool Fuel</t>
  </si>
  <si>
    <t xml:space="preserve">Water </t>
  </si>
  <si>
    <t>Electric</t>
  </si>
  <si>
    <t xml:space="preserve">     Utilities</t>
  </si>
  <si>
    <t xml:space="preserve">     Maintenance and Repair Subtotal</t>
  </si>
  <si>
    <t>Snowplowing</t>
  </si>
  <si>
    <t>Roads</t>
  </si>
  <si>
    <t>Miscellaneous repairs and supplies</t>
  </si>
  <si>
    <t xml:space="preserve">Exterior and Buildings </t>
  </si>
  <si>
    <t>-</t>
  </si>
  <si>
    <t>Electrical and Plumbing</t>
  </si>
  <si>
    <t>Machines and Equipment</t>
  </si>
  <si>
    <t>Irrigation and Pumps</t>
  </si>
  <si>
    <t>Yard and Grounds</t>
  </si>
  <si>
    <t xml:space="preserve">Docks </t>
  </si>
  <si>
    <t>Pool and Recreation Areas (includes supplies)</t>
  </si>
  <si>
    <t>Equipment fuel and Oil</t>
  </si>
  <si>
    <t>Equipment Rent</t>
  </si>
  <si>
    <t xml:space="preserve">     Maintenance and Repair</t>
  </si>
  <si>
    <t xml:space="preserve">     Personnel Cost Subtotal</t>
  </si>
  <si>
    <t>Insurance-WC</t>
  </si>
  <si>
    <t>Gas Allotment &amp; Mileage</t>
  </si>
  <si>
    <t xml:space="preserve">Bonus </t>
  </si>
  <si>
    <t>Payroll Taxes</t>
  </si>
  <si>
    <t>Salaries</t>
  </si>
  <si>
    <t xml:space="preserve">     Personnel Costs</t>
  </si>
  <si>
    <t>Expenditures</t>
  </si>
  <si>
    <t>Other: late fees, new orientations, estoppels</t>
  </si>
  <si>
    <t>Easement</t>
  </si>
  <si>
    <t>Moorage (move to Cap Ex)</t>
  </si>
  <si>
    <t>Investment Income</t>
  </si>
  <si>
    <t>Insurance Assessment 79 @ $34 Mo</t>
  </si>
  <si>
    <t>Insurance Assessment 79 @ $32 Mo</t>
  </si>
  <si>
    <t>Insurance Assessment 79 @ $28 Mo</t>
  </si>
  <si>
    <t>79 owners</t>
  </si>
  <si>
    <t>5 Homeowners @ $245 Mo</t>
  </si>
  <si>
    <t>5 Homeowners @ $252 Mo</t>
  </si>
  <si>
    <t>5 Homeowners @ $263 Mo</t>
  </si>
  <si>
    <t>5 Homeowners @ $304 Mo</t>
  </si>
  <si>
    <t xml:space="preserve">5 Homeowners @ $282 Mo </t>
  </si>
  <si>
    <t>5 Homes $309</t>
  </si>
  <si>
    <t>5 Homes $301</t>
  </si>
  <si>
    <t>5 Home owners @ $332 Mo (292 + 40 internet)</t>
  </si>
  <si>
    <t>5 Homes $313</t>
  </si>
  <si>
    <t xml:space="preserve">5 Homes $313 +$10 </t>
  </si>
  <si>
    <t>5 Homes @ $353</t>
  </si>
  <si>
    <t>74 Condo Owners @ $260 Mo</t>
  </si>
  <si>
    <t>74 Condo Owners @ $268 Mo</t>
  </si>
  <si>
    <t>74 Condo Owners @ $276 Mo</t>
  </si>
  <si>
    <t xml:space="preserve">74 Condo Owners @ $285 Mo  </t>
  </si>
  <si>
    <t>74 Condo Owners @ $294 Mo</t>
  </si>
  <si>
    <t>74 Condo Owners @ $303 Mo</t>
  </si>
  <si>
    <t>74 Condo Owners @ $312 Mo</t>
  </si>
  <si>
    <r>
      <t xml:space="preserve">74 Condo Owners </t>
    </r>
    <r>
      <rPr>
        <b/>
        <sz val="10"/>
        <rFont val="Arial"/>
        <family val="2"/>
      </rPr>
      <t xml:space="preserve">@ </t>
    </r>
    <r>
      <rPr>
        <sz val="10"/>
        <rFont val="Arial"/>
        <family val="2"/>
      </rPr>
      <t>$322 Mo</t>
    </r>
  </si>
  <si>
    <t>74 Condo Owners $341</t>
  </si>
  <si>
    <t>74 Condo Owners $349 ($314 +$35 internet)</t>
  </si>
  <si>
    <t>74 Condo Owners $322 (op exp) + $35(internet)</t>
  </si>
  <si>
    <t>74 Condos $353</t>
  </si>
  <si>
    <t xml:space="preserve">74 Condos $353 +$10 </t>
  </si>
  <si>
    <t>74 Condos @ $393</t>
  </si>
  <si>
    <t xml:space="preserve">    </t>
  </si>
  <si>
    <t xml:space="preserve">Revenue  Condo + Homeowners  </t>
  </si>
  <si>
    <t>Actual</t>
  </si>
  <si>
    <t>2007 Budget</t>
  </si>
  <si>
    <t>Budget</t>
  </si>
  <si>
    <t xml:space="preserve">Budget </t>
  </si>
  <si>
    <t>Category</t>
  </si>
  <si>
    <t>WVHA Budget/Actual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</si>
</sst>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??_);_(@_)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2">
    <xf numFmtId="0" fontId="0" fillId="0" borderId="0" xfId="0"/>
    <xf numFmtId="42" fontId="2" fillId="0" borderId="0" xfId="1" applyNumberFormat="1" applyFont="1" applyAlignment="1">
      <alignment vertical="center"/>
    </xf>
    <xf numFmtId="42" fontId="2" fillId="2" borderId="0" xfId="1" applyNumberFormat="1" applyFont="1" applyFill="1" applyAlignment="1">
      <alignment vertical="center"/>
    </xf>
    <xf numFmtId="42" fontId="2" fillId="2" borderId="0" xfId="2" applyNumberFormat="1" applyFont="1" applyFill="1" applyAlignment="1">
      <alignment horizontal="left" vertical="center"/>
    </xf>
    <xf numFmtId="42" fontId="2" fillId="0" borderId="0" xfId="2" applyNumberFormat="1" applyFont="1" applyAlignment="1">
      <alignment horizontal="left" vertical="center"/>
    </xf>
    <xf numFmtId="42" fontId="2" fillId="2" borderId="0" xfId="2" applyNumberFormat="1" applyFont="1" applyFill="1" applyAlignment="1">
      <alignment horizontal="right" vertical="center"/>
    </xf>
    <xf numFmtId="42" fontId="2" fillId="0" borderId="0" xfId="2" applyNumberFormat="1" applyFont="1" applyAlignment="1">
      <alignment horizontal="right" vertical="center"/>
    </xf>
    <xf numFmtId="42" fontId="2" fillId="2" borderId="0" xfId="1" applyNumberFormat="1" applyFont="1" applyFill="1" applyAlignment="1">
      <alignment horizontal="left" vertical="center"/>
    </xf>
    <xf numFmtId="42" fontId="2" fillId="0" borderId="0" xfId="1" applyNumberFormat="1" applyFont="1" applyAlignment="1">
      <alignment horizontal="left" vertical="center"/>
    </xf>
    <xf numFmtId="42" fontId="2" fillId="0" borderId="0" xfId="1" applyNumberFormat="1" applyFont="1" applyAlignment="1">
      <alignment horizontal="center" vertical="center" wrapText="1"/>
    </xf>
    <xf numFmtId="42" fontId="2" fillId="2" borderId="0" xfId="1" applyNumberFormat="1" applyFont="1" applyFill="1" applyAlignment="1">
      <alignment horizontal="center" vertical="center" wrapText="1"/>
    </xf>
    <xf numFmtId="42" fontId="2" fillId="0" borderId="0" xfId="1" applyNumberFormat="1" applyFont="1" applyAlignment="1">
      <alignment horizontal="left" vertical="center" wrapText="1"/>
    </xf>
    <xf numFmtId="42" fontId="3" fillId="2" borderId="0" xfId="1" applyNumberFormat="1" applyFont="1" applyFill="1" applyAlignment="1">
      <alignment horizontal="center" vertical="center" wrapText="1"/>
    </xf>
    <xf numFmtId="42" fontId="3" fillId="0" borderId="0" xfId="1" applyNumberFormat="1" applyFont="1" applyAlignment="1">
      <alignment horizontal="center" vertical="center" wrapText="1"/>
    </xf>
    <xf numFmtId="42" fontId="2" fillId="2" borderId="0" xfId="1" applyNumberFormat="1" applyFont="1" applyFill="1" applyAlignment="1">
      <alignment horizontal="left" vertical="center" wrapText="1"/>
    </xf>
    <xf numFmtId="42" fontId="2" fillId="3" borderId="0" xfId="1" applyNumberFormat="1" applyFont="1" applyFill="1" applyAlignment="1">
      <alignment horizontal="left" vertical="center" wrapText="1"/>
    </xf>
    <xf numFmtId="42" fontId="2" fillId="0" borderId="1" xfId="1" applyNumberFormat="1" applyFont="1" applyBorder="1" applyAlignment="1">
      <alignment horizontal="left" vertical="center" wrapText="1"/>
    </xf>
    <xf numFmtId="0" fontId="1" fillId="0" borderId="0" xfId="1"/>
    <xf numFmtId="6" fontId="1" fillId="3" borderId="0" xfId="1" applyNumberFormat="1" applyFill="1"/>
    <xf numFmtId="6" fontId="1" fillId="0" borderId="1" xfId="1" applyNumberFormat="1" applyBorder="1"/>
    <xf numFmtId="0" fontId="1" fillId="3" borderId="0" xfId="1" applyFill="1"/>
    <xf numFmtId="42" fontId="2" fillId="2" borderId="1" xfId="1" applyNumberFormat="1" applyFont="1" applyFill="1" applyBorder="1" applyAlignment="1">
      <alignment horizontal="left" vertical="center" wrapText="1"/>
    </xf>
    <xf numFmtId="42" fontId="3" fillId="0" borderId="2" xfId="3" applyNumberFormat="1" applyFont="1" applyBorder="1" applyAlignment="1">
      <alignment vertical="center"/>
    </xf>
    <xf numFmtId="42" fontId="3" fillId="2" borderId="2" xfId="3" applyNumberFormat="1" applyFont="1" applyFill="1" applyBorder="1" applyAlignment="1">
      <alignment vertical="center"/>
    </xf>
    <xf numFmtId="42" fontId="3" fillId="0" borderId="3" xfId="3" applyNumberFormat="1" applyFont="1" applyBorder="1" applyAlignment="1">
      <alignment horizontal="left" vertical="center" wrapText="1"/>
    </xf>
    <xf numFmtId="42" fontId="3" fillId="2" borderId="4" xfId="3" applyNumberFormat="1" applyFont="1" applyFill="1" applyBorder="1" applyAlignment="1">
      <alignment horizontal="left" vertical="center" wrapText="1"/>
    </xf>
    <xf numFmtId="42" fontId="3" fillId="0" borderId="2" xfId="3" applyNumberFormat="1" applyFont="1" applyBorder="1" applyAlignment="1">
      <alignment horizontal="left" vertical="center" wrapText="1"/>
    </xf>
    <xf numFmtId="42" fontId="3" fillId="2" borderId="5" xfId="3" applyNumberFormat="1" applyFont="1" applyFill="1" applyBorder="1" applyAlignment="1">
      <alignment horizontal="left" vertical="center" wrapText="1"/>
    </xf>
    <xf numFmtId="42" fontId="3" fillId="0" borderId="5" xfId="3" applyNumberFormat="1" applyFont="1" applyBorder="1" applyAlignment="1">
      <alignment horizontal="left" vertical="center" wrapText="1"/>
    </xf>
    <xf numFmtId="42" fontId="3" fillId="0" borderId="6" xfId="3" applyNumberFormat="1" applyFont="1" applyBorder="1" applyAlignment="1">
      <alignment horizontal="left" vertical="center" wrapText="1"/>
    </xf>
    <xf numFmtId="42" fontId="3" fillId="3" borderId="6" xfId="3" applyNumberFormat="1" applyFont="1" applyFill="1" applyBorder="1" applyAlignment="1">
      <alignment horizontal="left" vertical="center" wrapText="1"/>
    </xf>
    <xf numFmtId="42" fontId="3" fillId="3" borderId="5" xfId="3" applyNumberFormat="1" applyFont="1" applyFill="1" applyBorder="1" applyAlignment="1">
      <alignment horizontal="left" vertical="center" wrapText="1"/>
    </xf>
    <xf numFmtId="42" fontId="3" fillId="0" borderId="7" xfId="1" applyNumberFormat="1" applyFont="1" applyBorder="1" applyAlignment="1">
      <alignment horizontal="left" vertical="center" wrapText="1"/>
    </xf>
    <xf numFmtId="42" fontId="2" fillId="0" borderId="2" xfId="2" applyNumberFormat="1" applyFont="1" applyBorder="1" applyAlignment="1">
      <alignment vertical="center"/>
    </xf>
    <xf numFmtId="42" fontId="2" fillId="2" borderId="2" xfId="2" applyNumberFormat="1" applyFont="1" applyFill="1" applyBorder="1" applyAlignment="1">
      <alignment vertical="center"/>
    </xf>
    <xf numFmtId="42" fontId="2" fillId="2" borderId="2" xfId="2" applyNumberFormat="1" applyFont="1" applyFill="1" applyBorder="1" applyAlignment="1">
      <alignment horizontal="left" vertical="center"/>
    </xf>
    <xf numFmtId="42" fontId="2" fillId="0" borderId="2" xfId="2" applyNumberFormat="1" applyFont="1" applyBorder="1" applyAlignment="1">
      <alignment horizontal="left" vertical="center"/>
    </xf>
    <xf numFmtId="42" fontId="2" fillId="2" borderId="2" xfId="2" applyNumberFormat="1" applyFont="1" applyFill="1" applyBorder="1" applyAlignment="1">
      <alignment horizontal="right" vertical="center"/>
    </xf>
    <xf numFmtId="42" fontId="2" fillId="0" borderId="2" xfId="2" applyNumberFormat="1" applyFont="1" applyBorder="1" applyAlignment="1">
      <alignment horizontal="right" vertical="center"/>
    </xf>
    <xf numFmtId="42" fontId="2" fillId="0" borderId="2" xfId="2" applyNumberFormat="1" applyFont="1" applyBorder="1" applyAlignment="1">
      <alignment horizontal="center" vertical="center" wrapText="1"/>
    </xf>
    <xf numFmtId="42" fontId="2" fillId="2" borderId="8" xfId="2" applyNumberFormat="1" applyFont="1" applyFill="1" applyBorder="1" applyAlignment="1">
      <alignment horizontal="center" vertical="center" wrapText="1"/>
    </xf>
    <xf numFmtId="42" fontId="2" fillId="0" borderId="2" xfId="2" applyNumberFormat="1" applyFont="1" applyBorder="1" applyAlignment="1">
      <alignment horizontal="left" vertical="center" wrapText="1"/>
    </xf>
    <xf numFmtId="42" fontId="3" fillId="2" borderId="5" xfId="2" applyNumberFormat="1" applyFont="1" applyFill="1" applyBorder="1" applyAlignment="1">
      <alignment horizontal="center" vertical="center" wrapText="1"/>
    </xf>
    <xf numFmtId="42" fontId="3" fillId="0" borderId="5" xfId="2" applyNumberFormat="1" applyFont="1" applyBorder="1" applyAlignment="1">
      <alignment horizontal="center" vertical="center" wrapText="1"/>
    </xf>
    <xf numFmtId="42" fontId="2" fillId="2" borderId="5" xfId="2" applyNumberFormat="1" applyFont="1" applyFill="1" applyBorder="1" applyAlignment="1">
      <alignment horizontal="left" vertical="center" wrapText="1"/>
    </xf>
    <xf numFmtId="42" fontId="2" fillId="0" borderId="5" xfId="2" applyNumberFormat="1" applyFont="1" applyBorder="1" applyAlignment="1">
      <alignment horizontal="left" vertical="center" wrapText="1"/>
    </xf>
    <xf numFmtId="42" fontId="2" fillId="0" borderId="6" xfId="2" applyNumberFormat="1" applyFont="1" applyBorder="1" applyAlignment="1">
      <alignment horizontal="left" vertical="center" wrapText="1"/>
    </xf>
    <xf numFmtId="42" fontId="2" fillId="3" borderId="6" xfId="2" applyNumberFormat="1" applyFont="1" applyFill="1" applyBorder="1" applyAlignment="1">
      <alignment horizontal="left" vertical="center" wrapText="1"/>
    </xf>
    <xf numFmtId="42" fontId="2" fillId="3" borderId="5" xfId="2" applyNumberFormat="1" applyFont="1" applyFill="1" applyBorder="1" applyAlignment="1">
      <alignment horizontal="left" vertical="center" wrapText="1"/>
    </xf>
    <xf numFmtId="42" fontId="2" fillId="2" borderId="2" xfId="2" applyNumberFormat="1" applyFont="1" applyFill="1" applyBorder="1" applyAlignment="1">
      <alignment horizontal="center" vertical="center" wrapText="1"/>
    </xf>
    <xf numFmtId="42" fontId="3" fillId="2" borderId="2" xfId="2" applyNumberFormat="1" applyFont="1" applyFill="1" applyBorder="1" applyAlignment="1">
      <alignment horizontal="center" vertical="center" wrapText="1"/>
    </xf>
    <xf numFmtId="42" fontId="3" fillId="0" borderId="2" xfId="2" applyNumberFormat="1" applyFont="1" applyBorder="1" applyAlignment="1">
      <alignment horizontal="center" vertical="center" wrapText="1"/>
    </xf>
    <xf numFmtId="42" fontId="2" fillId="2" borderId="2" xfId="2" applyNumberFormat="1" applyFont="1" applyFill="1" applyBorder="1" applyAlignment="1">
      <alignment horizontal="left" vertical="center" wrapText="1"/>
    </xf>
    <xf numFmtId="42" fontId="2" fillId="3" borderId="2" xfId="2" applyNumberFormat="1" applyFont="1" applyFill="1" applyBorder="1" applyAlignment="1">
      <alignment horizontal="left" vertical="center" wrapText="1"/>
    </xf>
    <xf numFmtId="42" fontId="3" fillId="0" borderId="2" xfId="2" applyNumberFormat="1" applyFont="1" applyBorder="1" applyAlignment="1">
      <alignment vertical="center"/>
    </xf>
    <xf numFmtId="42" fontId="3" fillId="2" borderId="2" xfId="2" applyNumberFormat="1" applyFont="1" applyFill="1" applyBorder="1" applyAlignment="1">
      <alignment vertical="center"/>
    </xf>
    <xf numFmtId="42" fontId="3" fillId="0" borderId="2" xfId="1" applyNumberFormat="1" applyFont="1" applyBorder="1" applyAlignment="1">
      <alignment vertical="center"/>
    </xf>
    <xf numFmtId="42" fontId="3" fillId="2" borderId="2" xfId="1" applyNumberFormat="1" applyFont="1" applyFill="1" applyBorder="1" applyAlignment="1">
      <alignment vertical="center"/>
    </xf>
    <xf numFmtId="42" fontId="3" fillId="2" borderId="2" xfId="2" applyNumberFormat="1" applyFont="1" applyFill="1" applyBorder="1" applyAlignment="1">
      <alignment horizontal="right" vertical="center"/>
    </xf>
    <xf numFmtId="42" fontId="3" fillId="0" borderId="2" xfId="2" applyNumberFormat="1" applyFont="1" applyBorder="1" applyAlignment="1">
      <alignment horizontal="right" vertical="center"/>
    </xf>
    <xf numFmtId="42" fontId="3" fillId="0" borderId="2" xfId="1" applyNumberFormat="1" applyFont="1" applyBorder="1" applyAlignment="1">
      <alignment horizontal="center" vertical="center" wrapText="1"/>
    </xf>
    <xf numFmtId="42" fontId="3" fillId="2" borderId="2" xfId="1" applyNumberFormat="1" applyFont="1" applyFill="1" applyBorder="1" applyAlignment="1">
      <alignment horizontal="center" vertical="center" wrapText="1"/>
    </xf>
    <xf numFmtId="42" fontId="3" fillId="0" borderId="2" xfId="2" applyNumberFormat="1" applyFont="1" applyBorder="1" applyAlignment="1">
      <alignment horizontal="left" vertical="center" wrapText="1"/>
    </xf>
    <xf numFmtId="42" fontId="3" fillId="2" borderId="2" xfId="1" applyNumberFormat="1" applyFont="1" applyFill="1" applyBorder="1" applyAlignment="1">
      <alignment horizontal="left" vertical="center" wrapText="1"/>
    </xf>
    <xf numFmtId="42" fontId="3" fillId="0" borderId="2" xfId="1" applyNumberFormat="1" applyFont="1" applyBorder="1" applyAlignment="1">
      <alignment horizontal="left" vertical="center" wrapText="1"/>
    </xf>
    <xf numFmtId="42" fontId="3" fillId="3" borderId="2" xfId="1" applyNumberFormat="1" applyFont="1" applyFill="1" applyBorder="1" applyAlignment="1">
      <alignment horizontal="left" vertical="center" wrapText="1"/>
    </xf>
    <xf numFmtId="42" fontId="2" fillId="3" borderId="5" xfId="1" applyNumberFormat="1" applyFont="1" applyFill="1" applyBorder="1" applyAlignment="1">
      <alignment horizontal="left" vertical="center" wrapText="1"/>
    </xf>
    <xf numFmtId="42" fontId="2" fillId="0" borderId="5" xfId="1" applyNumberFormat="1" applyFont="1" applyBorder="1" applyAlignment="1">
      <alignment horizontal="left" vertical="center" wrapText="1"/>
    </xf>
    <xf numFmtId="42" fontId="3" fillId="0" borderId="5" xfId="1" applyNumberFormat="1" applyFont="1" applyBorder="1" applyAlignment="1">
      <alignment vertical="center"/>
    </xf>
    <xf numFmtId="42" fontId="3" fillId="0" borderId="9" xfId="1" applyNumberFormat="1" applyFont="1" applyBorder="1" applyAlignment="1">
      <alignment vertical="center"/>
    </xf>
    <xf numFmtId="42" fontId="3" fillId="2" borderId="9" xfId="1" applyNumberFormat="1" applyFont="1" applyFill="1" applyBorder="1" applyAlignment="1">
      <alignment vertical="center"/>
    </xf>
    <xf numFmtId="42" fontId="2" fillId="2" borderId="9" xfId="2" applyNumberFormat="1" applyFont="1" applyFill="1" applyBorder="1" applyAlignment="1">
      <alignment horizontal="right" vertical="center"/>
    </xf>
    <xf numFmtId="42" fontId="2" fillId="0" borderId="9" xfId="2" applyNumberFormat="1" applyFont="1" applyBorder="1" applyAlignment="1">
      <alignment horizontal="right" vertical="center"/>
    </xf>
    <xf numFmtId="42" fontId="2" fillId="0" borderId="9" xfId="1" applyNumberFormat="1" applyFont="1" applyBorder="1" applyAlignment="1">
      <alignment horizontal="center" vertical="center" wrapText="1"/>
    </xf>
    <xf numFmtId="42" fontId="2" fillId="2" borderId="9" xfId="1" applyNumberFormat="1" applyFont="1" applyFill="1" applyBorder="1" applyAlignment="1">
      <alignment horizontal="center" vertical="center" wrapText="1"/>
    </xf>
    <xf numFmtId="42" fontId="2" fillId="0" borderId="9" xfId="1" applyNumberFormat="1" applyFont="1" applyBorder="1" applyAlignment="1">
      <alignment horizontal="left" vertical="center" wrapText="1"/>
    </xf>
    <xf numFmtId="42" fontId="3" fillId="2" borderId="9" xfId="1" applyNumberFormat="1" applyFont="1" applyFill="1" applyBorder="1" applyAlignment="1">
      <alignment horizontal="center" vertical="center" wrapText="1"/>
    </xf>
    <xf numFmtId="42" fontId="3" fillId="0" borderId="9" xfId="1" applyNumberFormat="1" applyFont="1" applyBorder="1" applyAlignment="1">
      <alignment horizontal="center" vertical="center" wrapText="1"/>
    </xf>
    <xf numFmtId="42" fontId="3" fillId="2" borderId="9" xfId="1" applyNumberFormat="1" applyFont="1" applyFill="1" applyBorder="1" applyAlignment="1">
      <alignment horizontal="left" vertical="center" wrapText="1"/>
    </xf>
    <xf numFmtId="42" fontId="3" fillId="0" borderId="9" xfId="1" applyNumberFormat="1" applyFont="1" applyBorder="1" applyAlignment="1">
      <alignment horizontal="left" vertical="center" wrapText="1"/>
    </xf>
    <xf numFmtId="42" fontId="3" fillId="3" borderId="9" xfId="1" applyNumberFormat="1" applyFont="1" applyFill="1" applyBorder="1" applyAlignment="1">
      <alignment horizontal="left" vertical="center" wrapText="1"/>
    </xf>
    <xf numFmtId="42" fontId="3" fillId="3" borderId="7" xfId="1" applyNumberFormat="1" applyFont="1" applyFill="1" applyBorder="1" applyAlignment="1">
      <alignment horizontal="left" vertical="center" wrapText="1"/>
    </xf>
    <xf numFmtId="42" fontId="2" fillId="0" borderId="7" xfId="1" applyNumberFormat="1" applyFont="1" applyBorder="1" applyAlignment="1">
      <alignment horizontal="left" vertical="center" wrapText="1"/>
    </xf>
    <xf numFmtId="42" fontId="3" fillId="0" borderId="7" xfId="1" applyNumberFormat="1" applyFont="1" applyBorder="1" applyAlignment="1">
      <alignment vertical="center"/>
    </xf>
    <xf numFmtId="42" fontId="3" fillId="0" borderId="10" xfId="1" applyNumberFormat="1" applyFont="1" applyBorder="1" applyAlignment="1">
      <alignment vertical="center"/>
    </xf>
    <xf numFmtId="42" fontId="3" fillId="2" borderId="10" xfId="1" applyNumberFormat="1" applyFont="1" applyFill="1" applyBorder="1" applyAlignment="1">
      <alignment vertical="center"/>
    </xf>
    <xf numFmtId="42" fontId="2" fillId="2" borderId="10" xfId="2" applyNumberFormat="1" applyFont="1" applyFill="1" applyBorder="1" applyAlignment="1">
      <alignment horizontal="right" vertical="center"/>
    </xf>
    <xf numFmtId="42" fontId="2" fillId="0" borderId="10" xfId="2" applyNumberFormat="1" applyFont="1" applyBorder="1" applyAlignment="1">
      <alignment horizontal="right" vertical="center"/>
    </xf>
    <xf numFmtId="42" fontId="2" fillId="0" borderId="10" xfId="1" applyNumberFormat="1" applyFont="1" applyBorder="1" applyAlignment="1">
      <alignment horizontal="center" vertical="center" wrapText="1"/>
    </xf>
    <xf numFmtId="42" fontId="2" fillId="2" borderId="10" xfId="1" applyNumberFormat="1" applyFont="1" applyFill="1" applyBorder="1" applyAlignment="1">
      <alignment horizontal="center" vertical="center" wrapText="1"/>
    </xf>
    <xf numFmtId="42" fontId="2" fillId="0" borderId="10" xfId="1" applyNumberFormat="1" applyFont="1" applyBorder="1" applyAlignment="1">
      <alignment horizontal="left" vertical="center" wrapText="1"/>
    </xf>
    <xf numFmtId="42" fontId="3" fillId="2" borderId="10" xfId="1" applyNumberFormat="1" applyFont="1" applyFill="1" applyBorder="1" applyAlignment="1">
      <alignment horizontal="center" vertical="center" wrapText="1"/>
    </xf>
    <xf numFmtId="42" fontId="3" fillId="0" borderId="10" xfId="1" applyNumberFormat="1" applyFont="1" applyBorder="1" applyAlignment="1">
      <alignment horizontal="center" vertical="center" wrapText="1"/>
    </xf>
    <xf numFmtId="42" fontId="3" fillId="2" borderId="10" xfId="1" applyNumberFormat="1" applyFont="1" applyFill="1" applyBorder="1" applyAlignment="1">
      <alignment horizontal="left" vertical="center" wrapText="1"/>
    </xf>
    <xf numFmtId="42" fontId="3" fillId="0" borderId="10" xfId="1" applyNumberFormat="1" applyFont="1" applyBorder="1" applyAlignment="1">
      <alignment horizontal="left" vertical="center" wrapText="1"/>
    </xf>
    <xf numFmtId="42" fontId="3" fillId="3" borderId="10" xfId="1" applyNumberFormat="1" applyFont="1" applyFill="1" applyBorder="1" applyAlignment="1">
      <alignment horizontal="left" vertical="center" wrapText="1"/>
    </xf>
    <xf numFmtId="42" fontId="3" fillId="3" borderId="11" xfId="1" applyNumberFormat="1" applyFont="1" applyFill="1" applyBorder="1" applyAlignment="1">
      <alignment horizontal="left" vertical="center" wrapText="1"/>
    </xf>
    <xf numFmtId="42" fontId="3" fillId="0" borderId="11" xfId="1" applyNumberFormat="1" applyFont="1" applyBorder="1" applyAlignment="1">
      <alignment horizontal="left" vertical="center" wrapText="1"/>
    </xf>
    <xf numFmtId="42" fontId="3" fillId="0" borderId="1" xfId="3" applyNumberFormat="1" applyFont="1" applyBorder="1" applyAlignment="1">
      <alignment vertical="center"/>
    </xf>
    <xf numFmtId="42" fontId="3" fillId="2" borderId="1" xfId="3" applyNumberFormat="1" applyFont="1" applyFill="1" applyBorder="1" applyAlignment="1">
      <alignment vertical="center"/>
    </xf>
    <xf numFmtId="42" fontId="3" fillId="0" borderId="1" xfId="3" applyNumberFormat="1" applyFont="1" applyBorder="1" applyAlignment="1">
      <alignment vertical="center" wrapText="1"/>
    </xf>
    <xf numFmtId="42" fontId="3" fillId="2" borderId="1" xfId="3" applyNumberFormat="1" applyFont="1" applyFill="1" applyBorder="1" applyAlignment="1">
      <alignment vertical="center" wrapText="1"/>
    </xf>
    <xf numFmtId="42" fontId="3" fillId="0" borderId="0" xfId="3" applyNumberFormat="1" applyFont="1" applyBorder="1" applyAlignment="1">
      <alignment horizontal="left" vertical="center" wrapText="1"/>
    </xf>
    <xf numFmtId="42" fontId="3" fillId="2" borderId="0" xfId="2" applyNumberFormat="1" applyFont="1" applyFill="1" applyBorder="1" applyAlignment="1">
      <alignment horizontal="center" vertical="center" wrapText="1"/>
    </xf>
    <xf numFmtId="42" fontId="3" fillId="0" borderId="0" xfId="2" applyNumberFormat="1" applyFont="1" applyBorder="1" applyAlignment="1">
      <alignment horizontal="center" vertical="center" wrapText="1"/>
    </xf>
    <xf numFmtId="42" fontId="3" fillId="2" borderId="0" xfId="3" applyNumberFormat="1" applyFont="1" applyFill="1" applyBorder="1" applyAlignment="1">
      <alignment horizontal="left" vertical="center" wrapText="1"/>
    </xf>
    <xf numFmtId="164" fontId="3" fillId="0" borderId="0" xfId="3" applyNumberFormat="1" applyFont="1" applyBorder="1" applyAlignment="1">
      <alignment horizontal="left" vertical="center" wrapText="1"/>
    </xf>
    <xf numFmtId="10" fontId="3" fillId="3" borderId="0" xfId="3" applyNumberFormat="1" applyFont="1" applyFill="1" applyBorder="1" applyAlignment="1">
      <alignment horizontal="left" vertical="center" wrapText="1"/>
    </xf>
    <xf numFmtId="10" fontId="3" fillId="0" borderId="1" xfId="3" applyNumberFormat="1" applyFont="1" applyBorder="1" applyAlignment="1">
      <alignment horizontal="left" vertical="center" wrapText="1"/>
    </xf>
    <xf numFmtId="42" fontId="3" fillId="3" borderId="12" xfId="3" applyNumberFormat="1" applyFont="1" applyFill="1" applyBorder="1" applyAlignment="1">
      <alignment horizontal="left" vertical="center" wrapText="1"/>
    </xf>
    <xf numFmtId="42" fontId="3" fillId="0" borderId="12" xfId="3" applyNumberFormat="1" applyFont="1" applyBorder="1" applyAlignment="1">
      <alignment horizontal="left" vertical="center" wrapText="1"/>
    </xf>
    <xf numFmtId="42" fontId="3" fillId="3" borderId="0" xfId="3" applyNumberFormat="1" applyFont="1" applyFill="1" applyBorder="1" applyAlignment="1">
      <alignment horizontal="left" vertical="center" wrapText="1"/>
    </xf>
    <xf numFmtId="42" fontId="3" fillId="0" borderId="1" xfId="3" applyNumberFormat="1" applyFont="1" applyBorder="1" applyAlignment="1">
      <alignment horizontal="left" vertical="center" wrapText="1"/>
    </xf>
    <xf numFmtId="42" fontId="2" fillId="0" borderId="13" xfId="3" applyNumberFormat="1" applyFont="1" applyBorder="1" applyAlignment="1">
      <alignment vertical="center"/>
    </xf>
    <xf numFmtId="42" fontId="2" fillId="0" borderId="14" xfId="3" applyNumberFormat="1" applyFont="1" applyBorder="1" applyAlignment="1">
      <alignment vertical="center"/>
    </xf>
    <xf numFmtId="42" fontId="3" fillId="2" borderId="13" xfId="3" applyNumberFormat="1" applyFont="1" applyFill="1" applyBorder="1" applyAlignment="1">
      <alignment vertical="center"/>
    </xf>
    <xf numFmtId="42" fontId="3" fillId="0" borderId="13" xfId="3" applyNumberFormat="1" applyFont="1" applyBorder="1" applyAlignment="1">
      <alignment vertical="center"/>
    </xf>
    <xf numFmtId="42" fontId="3" fillId="2" borderId="13" xfId="3" applyNumberFormat="1" applyFont="1" applyFill="1" applyBorder="1" applyAlignment="1">
      <alignment horizontal="left" vertical="center"/>
    </xf>
    <xf numFmtId="42" fontId="3" fillId="0" borderId="13" xfId="3" applyNumberFormat="1" applyFont="1" applyBorder="1" applyAlignment="1">
      <alignment horizontal="left" vertical="center"/>
    </xf>
    <xf numFmtId="42" fontId="4" fillId="2" borderId="13" xfId="3" applyNumberFormat="1" applyFont="1" applyFill="1" applyBorder="1" applyAlignment="1">
      <alignment horizontal="justify" vertical="center" wrapText="1"/>
    </xf>
    <xf numFmtId="42" fontId="4" fillId="0" borderId="13" xfId="3" applyNumberFormat="1" applyFont="1" applyBorder="1" applyAlignment="1">
      <alignment horizontal="justify" vertical="center" wrapText="1"/>
    </xf>
    <xf numFmtId="42" fontId="4" fillId="3" borderId="13" xfId="3" applyNumberFormat="1" applyFont="1" applyFill="1" applyBorder="1" applyAlignment="1">
      <alignment horizontal="justify" vertical="center" wrapText="1"/>
    </xf>
    <xf numFmtId="42" fontId="4" fillId="3" borderId="15" xfId="3" applyNumberFormat="1" applyFont="1" applyFill="1" applyBorder="1" applyAlignment="1">
      <alignment horizontal="left" vertical="center" wrapText="1" indent="2"/>
    </xf>
    <xf numFmtId="42" fontId="4" fillId="0" borderId="15" xfId="3" applyNumberFormat="1" applyFont="1" applyBorder="1" applyAlignment="1">
      <alignment horizontal="left" vertical="center" wrapText="1" indent="2"/>
    </xf>
    <xf numFmtId="42" fontId="3" fillId="0" borderId="16" xfId="3" applyNumberFormat="1" applyFont="1" applyBorder="1" applyAlignment="1">
      <alignment vertical="center"/>
    </xf>
    <xf numFmtId="42" fontId="3" fillId="0" borderId="13" xfId="3" applyNumberFormat="1" applyFont="1" applyBorder="1" applyAlignment="1">
      <alignment horizontal="left" vertical="center" wrapText="1"/>
    </xf>
    <xf numFmtId="42" fontId="3" fillId="2" borderId="13" xfId="3" applyNumberFormat="1" applyFont="1" applyFill="1" applyBorder="1" applyAlignment="1">
      <alignment horizontal="left" vertical="center" wrapText="1"/>
    </xf>
    <xf numFmtId="42" fontId="3" fillId="2" borderId="13" xfId="2" applyNumberFormat="1" applyFont="1" applyFill="1" applyBorder="1" applyAlignment="1">
      <alignment horizontal="center" vertical="center" wrapText="1"/>
    </xf>
    <xf numFmtId="42" fontId="3" fillId="0" borderId="13" xfId="2" applyNumberFormat="1" applyFont="1" applyBorder="1" applyAlignment="1">
      <alignment horizontal="center" vertical="center" wrapText="1"/>
    </xf>
    <xf numFmtId="42" fontId="3" fillId="2" borderId="13" xfId="3" applyNumberFormat="1" applyFont="1" applyFill="1" applyBorder="1" applyAlignment="1">
      <alignment horizontal="justify" vertical="center" wrapText="1"/>
    </xf>
    <xf numFmtId="42" fontId="3" fillId="0" borderId="13" xfId="3" applyNumberFormat="1" applyFont="1" applyBorder="1" applyAlignment="1">
      <alignment horizontal="justify" vertical="center" wrapText="1"/>
    </xf>
    <xf numFmtId="42" fontId="3" fillId="3" borderId="13" xfId="3" applyNumberFormat="1" applyFont="1" applyFill="1" applyBorder="1" applyAlignment="1">
      <alignment horizontal="justify" vertical="center" wrapText="1"/>
    </xf>
    <xf numFmtId="42" fontId="3" fillId="3" borderId="16" xfId="3" applyNumberFormat="1" applyFont="1" applyFill="1" applyBorder="1" applyAlignment="1">
      <alignment horizontal="left" vertical="center" wrapText="1"/>
    </xf>
    <xf numFmtId="42" fontId="3" fillId="0" borderId="16" xfId="3" applyNumberFormat="1" applyFont="1" applyBorder="1" applyAlignment="1">
      <alignment horizontal="left" vertical="center" wrapText="1"/>
    </xf>
    <xf numFmtId="42" fontId="3" fillId="0" borderId="14" xfId="3" applyNumberFormat="1" applyFont="1" applyBorder="1" applyAlignment="1">
      <alignment vertical="center"/>
    </xf>
    <xf numFmtId="42" fontId="3" fillId="2" borderId="13" xfId="3" applyNumberFormat="1" applyFont="1" applyFill="1" applyBorder="1" applyAlignment="1">
      <alignment horizontal="center" vertical="center" wrapText="1"/>
    </xf>
    <xf numFmtId="42" fontId="3" fillId="0" borderId="13" xfId="3" applyNumberFormat="1" applyFont="1" applyBorder="1" applyAlignment="1">
      <alignment horizontal="center" vertical="center" wrapText="1"/>
    </xf>
    <xf numFmtId="42" fontId="4" fillId="3" borderId="15" xfId="3" applyNumberFormat="1" applyFont="1" applyFill="1" applyBorder="1" applyAlignment="1">
      <alignment horizontal="left" vertical="center" wrapText="1" indent="1"/>
    </xf>
    <xf numFmtId="42" fontId="4" fillId="0" borderId="15" xfId="3" applyNumberFormat="1" applyFont="1" applyBorder="1" applyAlignment="1">
      <alignment horizontal="left" vertical="center" wrapText="1" indent="1"/>
    </xf>
    <xf numFmtId="42" fontId="3" fillId="3" borderId="16" xfId="3" applyNumberFormat="1" applyFont="1" applyFill="1" applyBorder="1" applyAlignment="1">
      <alignment horizontal="left" vertical="center" wrapText="1" indent="1"/>
    </xf>
    <xf numFmtId="42" fontId="3" fillId="0" borderId="16" xfId="3" applyNumberFormat="1" applyFont="1" applyBorder="1" applyAlignment="1">
      <alignment horizontal="left" vertical="center" wrapText="1" indent="1"/>
    </xf>
    <xf numFmtId="42" fontId="2" fillId="0" borderId="16" xfId="1" applyNumberFormat="1" applyFont="1" applyBorder="1" applyAlignment="1">
      <alignment vertical="center"/>
    </xf>
    <xf numFmtId="42" fontId="2" fillId="2" borderId="13" xfId="2" applyNumberFormat="1" applyFont="1" applyFill="1" applyBorder="1" applyAlignment="1">
      <alignment vertical="center"/>
    </xf>
    <xf numFmtId="42" fontId="2" fillId="0" borderId="13" xfId="2" applyNumberFormat="1" applyFont="1" applyBorder="1" applyAlignment="1">
      <alignment vertical="center"/>
    </xf>
    <xf numFmtId="42" fontId="2" fillId="2" borderId="13" xfId="2" applyNumberFormat="1" applyFont="1" applyFill="1" applyBorder="1" applyAlignment="1">
      <alignment horizontal="left" vertical="center"/>
    </xf>
    <xf numFmtId="42" fontId="2" fillId="0" borderId="13" xfId="2" applyNumberFormat="1" applyFont="1" applyBorder="1" applyAlignment="1">
      <alignment horizontal="left" vertical="center"/>
    </xf>
    <xf numFmtId="42" fontId="2" fillId="0" borderId="13" xfId="2" applyNumberFormat="1" applyFont="1" applyBorder="1" applyAlignment="1">
      <alignment horizontal="left" vertical="center" wrapText="1"/>
    </xf>
    <xf numFmtId="42" fontId="2" fillId="2" borderId="13" xfId="2" applyNumberFormat="1" applyFont="1" applyFill="1" applyBorder="1" applyAlignment="1">
      <alignment horizontal="left" vertical="center" wrapText="1"/>
    </xf>
    <xf numFmtId="42" fontId="2" fillId="0" borderId="13" xfId="1" applyNumberFormat="1" applyFont="1" applyBorder="1" applyAlignment="1">
      <alignment horizontal="left" vertical="center" wrapText="1"/>
    </xf>
    <xf numFmtId="42" fontId="2" fillId="2" borderId="13" xfId="1" applyNumberFormat="1" applyFont="1" applyFill="1" applyBorder="1" applyAlignment="1">
      <alignment horizontal="left" vertical="center" wrapText="1"/>
    </xf>
    <xf numFmtId="42" fontId="2" fillId="3" borderId="13" xfId="1" applyNumberFormat="1" applyFont="1" applyFill="1" applyBorder="1" applyAlignment="1">
      <alignment horizontal="left" vertical="center" wrapText="1"/>
    </xf>
    <xf numFmtId="42" fontId="2" fillId="3" borderId="16" xfId="1" applyNumberFormat="1" applyFont="1" applyFill="1" applyBorder="1" applyAlignment="1">
      <alignment horizontal="left" vertical="center" wrapText="1"/>
    </xf>
    <xf numFmtId="42" fontId="2" fillId="0" borderId="16" xfId="1" applyNumberFormat="1" applyFont="1" applyBorder="1" applyAlignment="1">
      <alignment horizontal="left" vertical="center" wrapText="1"/>
    </xf>
    <xf numFmtId="42" fontId="3" fillId="2" borderId="13" xfId="2" applyNumberFormat="1" applyFont="1" applyFill="1" applyBorder="1" applyAlignment="1">
      <alignment horizontal="left" vertical="center"/>
    </xf>
    <xf numFmtId="42" fontId="3" fillId="3" borderId="13" xfId="3" applyNumberFormat="1" applyFont="1" applyFill="1" applyBorder="1" applyAlignment="1">
      <alignment horizontal="left" vertical="center" wrapText="1"/>
    </xf>
    <xf numFmtId="42" fontId="3" fillId="0" borderId="15" xfId="3" applyNumberFormat="1" applyFont="1" applyBorder="1" applyAlignment="1">
      <alignment horizontal="left" vertical="center" wrapText="1"/>
    </xf>
    <xf numFmtId="42" fontId="2" fillId="0" borderId="17" xfId="2" applyNumberFormat="1" applyFont="1" applyBorder="1" applyAlignment="1">
      <alignment vertical="center"/>
    </xf>
    <xf numFmtId="42" fontId="2" fillId="0" borderId="18" xfId="2" applyNumberFormat="1" applyFont="1" applyBorder="1" applyAlignment="1">
      <alignment vertical="center"/>
    </xf>
    <xf numFmtId="42" fontId="2" fillId="2" borderId="17" xfId="2" applyNumberFormat="1" applyFont="1" applyFill="1" applyBorder="1" applyAlignment="1">
      <alignment vertical="center"/>
    </xf>
    <xf numFmtId="42" fontId="2" fillId="2" borderId="17" xfId="2" applyNumberFormat="1" applyFont="1" applyFill="1" applyBorder="1" applyAlignment="1">
      <alignment horizontal="left" vertical="center"/>
    </xf>
    <xf numFmtId="42" fontId="2" fillId="2" borderId="17" xfId="2" applyNumberFormat="1" applyFont="1" applyFill="1" applyBorder="1" applyAlignment="1">
      <alignment horizontal="right" vertical="center"/>
    </xf>
    <xf numFmtId="42" fontId="2" fillId="0" borderId="17" xfId="2" applyNumberFormat="1" applyFont="1" applyBorder="1" applyAlignment="1">
      <alignment horizontal="right" vertical="center"/>
    </xf>
    <xf numFmtId="42" fontId="2" fillId="0" borderId="17" xfId="2" applyNumberFormat="1" applyFont="1" applyBorder="1" applyAlignment="1">
      <alignment horizontal="center" vertical="center" wrapText="1"/>
    </xf>
    <xf numFmtId="42" fontId="2" fillId="2" borderId="19" xfId="2" applyNumberFormat="1" applyFont="1" applyFill="1" applyBorder="1" applyAlignment="1">
      <alignment horizontal="center" vertical="center" wrapText="1"/>
    </xf>
    <xf numFmtId="42" fontId="2" fillId="0" borderId="19" xfId="2" applyNumberFormat="1" applyFont="1" applyBorder="1" applyAlignment="1">
      <alignment horizontal="left" vertical="center" wrapText="1"/>
    </xf>
    <xf numFmtId="42" fontId="2" fillId="0" borderId="19" xfId="2" applyNumberFormat="1" applyFont="1" applyBorder="1" applyAlignment="1">
      <alignment horizontal="center" vertical="center" wrapText="1"/>
    </xf>
    <xf numFmtId="42" fontId="2" fillId="2" borderId="17" xfId="2" applyNumberFormat="1" applyFont="1" applyFill="1" applyBorder="1" applyAlignment="1">
      <alignment horizontal="left" vertical="center" wrapText="1"/>
    </xf>
    <xf numFmtId="42" fontId="2" fillId="0" borderId="17" xfId="2" applyNumberFormat="1" applyFont="1" applyBorder="1" applyAlignment="1">
      <alignment horizontal="left" vertical="center" wrapText="1"/>
    </xf>
    <xf numFmtId="42" fontId="2" fillId="3" borderId="17" xfId="2" applyNumberFormat="1" applyFont="1" applyFill="1" applyBorder="1" applyAlignment="1">
      <alignment horizontal="left" vertical="center" wrapText="1"/>
    </xf>
    <xf numFmtId="42" fontId="2" fillId="3" borderId="20" xfId="2" applyNumberFormat="1" applyFont="1" applyFill="1" applyBorder="1" applyAlignment="1">
      <alignment horizontal="left" vertical="center" wrapText="1"/>
    </xf>
    <xf numFmtId="42" fontId="2" fillId="0" borderId="20" xfId="2" applyNumberFormat="1" applyFont="1" applyBorder="1" applyAlignment="1">
      <alignment horizontal="left" vertical="center" wrapText="1"/>
    </xf>
    <xf numFmtId="42" fontId="2" fillId="0" borderId="8" xfId="2" applyNumberFormat="1" applyFont="1" applyBorder="1" applyAlignment="1">
      <alignment vertical="center"/>
    </xf>
    <xf numFmtId="41" fontId="2" fillId="2" borderId="2" xfId="2" applyNumberFormat="1" applyFont="1" applyFill="1" applyBorder="1" applyAlignment="1">
      <alignment horizontal="left" vertical="center"/>
    </xf>
    <xf numFmtId="41" fontId="2" fillId="0" borderId="2" xfId="2" applyNumberFormat="1" applyFont="1" applyBorder="1" applyAlignment="1">
      <alignment vertical="center"/>
    </xf>
    <xf numFmtId="41" fontId="2" fillId="2" borderId="2" xfId="2" applyNumberFormat="1" applyFont="1" applyFill="1" applyBorder="1" applyAlignment="1">
      <alignment vertical="center"/>
    </xf>
    <xf numFmtId="41" fontId="2" fillId="2" borderId="2" xfId="2" applyNumberFormat="1" applyFont="1" applyFill="1" applyBorder="1" applyAlignment="1">
      <alignment horizontal="right" vertical="center"/>
    </xf>
    <xf numFmtId="41" fontId="2" fillId="0" borderId="2" xfId="2" applyNumberFormat="1" applyFont="1" applyBorder="1" applyAlignment="1">
      <alignment horizontal="right" vertical="center"/>
    </xf>
    <xf numFmtId="41" fontId="2" fillId="2" borderId="2" xfId="2" applyNumberFormat="1" applyFont="1" applyFill="1" applyBorder="1" applyAlignment="1">
      <alignment horizontal="center" vertical="center"/>
    </xf>
    <xf numFmtId="41" fontId="2" fillId="0" borderId="2" xfId="2" applyNumberFormat="1" applyFont="1" applyBorder="1" applyAlignment="1">
      <alignment horizontal="center" vertical="center" wrapText="1"/>
    </xf>
    <xf numFmtId="41" fontId="2" fillId="2" borderId="2" xfId="2" applyNumberFormat="1" applyFont="1" applyFill="1" applyBorder="1" applyAlignment="1">
      <alignment horizontal="center" vertical="center" wrapText="1"/>
    </xf>
    <xf numFmtId="41" fontId="2" fillId="0" borderId="2" xfId="2" applyNumberFormat="1" applyFont="1" applyBorder="1" applyAlignment="1">
      <alignment vertical="center" wrapText="1"/>
    </xf>
    <xf numFmtId="41" fontId="2" fillId="2" borderId="2" xfId="2" applyNumberFormat="1" applyFont="1" applyFill="1" applyBorder="1" applyAlignment="1">
      <alignment horizontal="left" vertical="center" wrapText="1"/>
    </xf>
    <xf numFmtId="41" fontId="2" fillId="0" borderId="2" xfId="2" applyNumberFormat="1" applyFont="1" applyBorder="1" applyAlignment="1">
      <alignment horizontal="left" vertical="center" wrapText="1"/>
    </xf>
    <xf numFmtId="41" fontId="2" fillId="3" borderId="2" xfId="2" applyNumberFormat="1" applyFont="1" applyFill="1" applyBorder="1" applyAlignment="1">
      <alignment horizontal="left" vertical="center" wrapText="1"/>
    </xf>
    <xf numFmtId="42" fontId="2" fillId="0" borderId="2" xfId="1" applyNumberFormat="1" applyFont="1" applyBorder="1" applyAlignment="1">
      <alignment vertical="center"/>
    </xf>
    <xf numFmtId="42" fontId="2" fillId="0" borderId="8" xfId="1" applyNumberFormat="1" applyFont="1" applyBorder="1" applyAlignment="1">
      <alignment vertical="center"/>
    </xf>
    <xf numFmtId="42" fontId="2" fillId="2" borderId="2" xfId="1" applyNumberFormat="1" applyFont="1" applyFill="1" applyBorder="1" applyAlignment="1">
      <alignment vertical="center"/>
    </xf>
    <xf numFmtId="42" fontId="5" fillId="0" borderId="2" xfId="1" applyNumberFormat="1" applyFont="1" applyBorder="1" applyAlignment="1">
      <alignment vertical="center"/>
    </xf>
    <xf numFmtId="42" fontId="5" fillId="2" borderId="2" xfId="1" applyNumberFormat="1" applyFont="1" applyFill="1" applyBorder="1" applyAlignment="1">
      <alignment vertical="center"/>
    </xf>
    <xf numFmtId="42" fontId="5" fillId="2" borderId="2" xfId="2" applyNumberFormat="1" applyFont="1" applyFill="1" applyBorder="1" applyAlignment="1">
      <alignment horizontal="left" vertical="center"/>
    </xf>
    <xf numFmtId="42" fontId="5" fillId="0" borderId="2" xfId="2" applyNumberFormat="1" applyFont="1" applyBorder="1" applyAlignment="1">
      <alignment horizontal="left" vertical="center"/>
    </xf>
    <xf numFmtId="42" fontId="6" fillId="2" borderId="2" xfId="2" applyNumberFormat="1" applyFont="1" applyFill="1" applyBorder="1" applyAlignment="1">
      <alignment horizontal="right" vertical="center"/>
    </xf>
    <xf numFmtId="42" fontId="6" fillId="0" borderId="2" xfId="2" applyNumberFormat="1" applyFont="1" applyBorder="1" applyAlignment="1">
      <alignment horizontal="right" vertical="center"/>
    </xf>
    <xf numFmtId="42" fontId="5" fillId="0" borderId="2" xfId="1" applyNumberFormat="1" applyFont="1" applyBorder="1" applyAlignment="1">
      <alignment horizontal="center" vertical="center" wrapText="1"/>
    </xf>
    <xf numFmtId="42" fontId="5" fillId="2" borderId="2" xfId="1" applyNumberFormat="1" applyFont="1" applyFill="1" applyBorder="1" applyAlignment="1">
      <alignment horizontal="center" vertical="center" wrapText="1"/>
    </xf>
    <xf numFmtId="42" fontId="5" fillId="0" borderId="2" xfId="1" applyNumberFormat="1" applyFont="1" applyBorder="1" applyAlignment="1">
      <alignment horizontal="left" vertical="center" wrapText="1"/>
    </xf>
    <xf numFmtId="42" fontId="3" fillId="3" borderId="5" xfId="1" applyNumberFormat="1" applyFont="1" applyFill="1" applyBorder="1" applyAlignment="1">
      <alignment horizontal="left" vertical="center" wrapText="1"/>
    </xf>
    <xf numFmtId="42" fontId="3" fillId="0" borderId="5" xfId="1" applyNumberFormat="1" applyFont="1" applyBorder="1" applyAlignment="1">
      <alignment horizontal="left" vertical="center" wrapText="1"/>
    </xf>
    <xf numFmtId="42" fontId="2" fillId="0" borderId="9" xfId="1" applyNumberFormat="1" applyFont="1" applyBorder="1" applyAlignment="1">
      <alignment vertical="center"/>
    </xf>
    <xf numFmtId="42" fontId="2" fillId="0" borderId="21" xfId="1" applyNumberFormat="1" applyFont="1" applyBorder="1" applyAlignment="1">
      <alignment vertical="center"/>
    </xf>
    <xf numFmtId="42" fontId="2" fillId="2" borderId="9" xfId="1" applyNumberFormat="1" applyFont="1" applyFill="1" applyBorder="1" applyAlignment="1">
      <alignment vertical="center"/>
    </xf>
    <xf numFmtId="42" fontId="2" fillId="2" borderId="9" xfId="2" applyNumberFormat="1" applyFont="1" applyFill="1" applyBorder="1" applyAlignment="1">
      <alignment vertical="center"/>
    </xf>
    <xf numFmtId="42" fontId="2" fillId="2" borderId="9" xfId="2" applyNumberFormat="1" applyFont="1" applyFill="1" applyBorder="1" applyAlignment="1">
      <alignment horizontal="left" vertical="center"/>
    </xf>
    <xf numFmtId="42" fontId="2" fillId="0" borderId="9" xfId="2" applyNumberFormat="1" applyFont="1" applyBorder="1" applyAlignment="1">
      <alignment horizontal="left" vertical="center"/>
    </xf>
    <xf numFmtId="42" fontId="3" fillId="2" borderId="9" xfId="2" applyNumberFormat="1" applyFont="1" applyFill="1" applyBorder="1" applyAlignment="1">
      <alignment horizontal="center" vertical="center" wrapText="1"/>
    </xf>
    <xf numFmtId="42" fontId="3" fillId="0" borderId="22" xfId="2" applyNumberFormat="1" applyFont="1" applyBorder="1" applyAlignment="1">
      <alignment horizontal="center" vertical="center" wrapText="1"/>
    </xf>
    <xf numFmtId="42" fontId="2" fillId="2" borderId="9" xfId="1" applyNumberFormat="1" applyFont="1" applyFill="1" applyBorder="1" applyAlignment="1">
      <alignment horizontal="left" vertical="center" wrapText="1"/>
    </xf>
    <xf numFmtId="42" fontId="2" fillId="3" borderId="9" xfId="1" applyNumberFormat="1" applyFont="1" applyFill="1" applyBorder="1" applyAlignment="1">
      <alignment horizontal="left" vertical="center" wrapText="1"/>
    </xf>
    <xf numFmtId="42" fontId="2" fillId="3" borderId="7" xfId="1" applyNumberFormat="1" applyFont="1" applyFill="1" applyBorder="1" applyAlignment="1">
      <alignment horizontal="left" vertical="center" wrapText="1"/>
    </xf>
    <xf numFmtId="42" fontId="3" fillId="0" borderId="13" xfId="3" applyNumberFormat="1" applyFont="1" applyBorder="1" applyAlignment="1">
      <alignment horizontal="right" vertical="center"/>
    </xf>
    <xf numFmtId="42" fontId="3" fillId="0" borderId="14" xfId="3" applyNumberFormat="1" applyFont="1" applyBorder="1" applyAlignment="1">
      <alignment horizontal="right" vertical="center"/>
    </xf>
    <xf numFmtId="42" fontId="3" fillId="2" borderId="13" xfId="3" applyNumberFormat="1" applyFont="1" applyFill="1" applyBorder="1" applyAlignment="1">
      <alignment horizontal="right" vertical="center"/>
    </xf>
    <xf numFmtId="42" fontId="3" fillId="0" borderId="13" xfId="3" applyNumberFormat="1" applyFont="1" applyBorder="1" applyAlignment="1">
      <alignment horizontal="right" vertical="center" wrapText="1"/>
    </xf>
    <xf numFmtId="42" fontId="3" fillId="2" borderId="13" xfId="3" applyNumberFormat="1" applyFont="1" applyFill="1" applyBorder="1" applyAlignment="1">
      <alignment horizontal="right" vertical="center" wrapText="1"/>
    </xf>
    <xf numFmtId="42" fontId="3" fillId="2" borderId="13" xfId="2" applyNumberFormat="1" applyFont="1" applyFill="1" applyBorder="1" applyAlignment="1">
      <alignment horizontal="right" vertical="center" wrapText="1"/>
    </xf>
    <xf numFmtId="42" fontId="3" fillId="0" borderId="13" xfId="2" applyNumberFormat="1" applyFont="1" applyBorder="1" applyAlignment="1">
      <alignment horizontal="right" vertical="center" wrapText="1"/>
    </xf>
    <xf numFmtId="42" fontId="3" fillId="2" borderId="13" xfId="3" applyNumberFormat="1" applyFont="1" applyFill="1" applyBorder="1" applyAlignment="1">
      <alignment horizontal="left" vertical="center" wrapText="1" indent="2"/>
    </xf>
    <xf numFmtId="42" fontId="3" fillId="0" borderId="13" xfId="3" applyNumberFormat="1" applyFont="1" applyBorder="1" applyAlignment="1">
      <alignment horizontal="left" vertical="center" wrapText="1" indent="2"/>
    </xf>
    <xf numFmtId="42" fontId="3" fillId="3" borderId="13" xfId="3" applyNumberFormat="1" applyFont="1" applyFill="1" applyBorder="1" applyAlignment="1">
      <alignment horizontal="left" vertical="center" wrapText="1" indent="2"/>
    </xf>
    <xf numFmtId="42" fontId="3" fillId="0" borderId="15" xfId="3" applyNumberFormat="1" applyFont="1" applyBorder="1" applyAlignment="1">
      <alignment horizontal="left" vertical="center" wrapText="1" indent="2"/>
    </xf>
    <xf numFmtId="41" fontId="2" fillId="0" borderId="17" xfId="2" applyNumberFormat="1" applyFont="1" applyBorder="1" applyAlignment="1">
      <alignment vertical="center"/>
    </xf>
    <xf numFmtId="41" fontId="2" fillId="0" borderId="18" xfId="2" applyNumberFormat="1" applyFont="1" applyBorder="1" applyAlignment="1">
      <alignment vertical="center"/>
    </xf>
    <xf numFmtId="41" fontId="2" fillId="2" borderId="17" xfId="2" applyNumberFormat="1" applyFont="1" applyFill="1" applyBorder="1" applyAlignment="1">
      <alignment vertical="center"/>
    </xf>
    <xf numFmtId="41" fontId="2" fillId="2" borderId="17" xfId="2" applyNumberFormat="1" applyFont="1" applyFill="1" applyBorder="1" applyAlignment="1">
      <alignment horizontal="left" vertical="center"/>
    </xf>
    <xf numFmtId="41" fontId="2" fillId="2" borderId="17" xfId="2" applyNumberFormat="1" applyFont="1" applyFill="1" applyBorder="1" applyAlignment="1">
      <alignment horizontal="right" vertical="center"/>
    </xf>
    <xf numFmtId="41" fontId="2" fillId="0" borderId="17" xfId="2" applyNumberFormat="1" applyFont="1" applyBorder="1" applyAlignment="1">
      <alignment horizontal="right" vertical="center"/>
    </xf>
    <xf numFmtId="41" fontId="2" fillId="2" borderId="17" xfId="2" applyNumberFormat="1" applyFont="1" applyFill="1" applyBorder="1" applyAlignment="1">
      <alignment horizontal="center" vertical="center"/>
    </xf>
    <xf numFmtId="41" fontId="2" fillId="0" borderId="17" xfId="2" applyNumberFormat="1" applyFont="1" applyBorder="1" applyAlignment="1">
      <alignment horizontal="center" vertical="center" wrapText="1"/>
    </xf>
    <xf numFmtId="41" fontId="2" fillId="2" borderId="17" xfId="2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>
      <alignment horizontal="left" vertical="center" wrapText="1"/>
    </xf>
    <xf numFmtId="41" fontId="2" fillId="2" borderId="17" xfId="2" applyNumberFormat="1" applyFont="1" applyFill="1" applyBorder="1" applyAlignment="1">
      <alignment horizontal="left" vertical="center" wrapText="1"/>
    </xf>
    <xf numFmtId="41" fontId="2" fillId="0" borderId="17" xfId="2" applyNumberFormat="1" applyFont="1" applyBorder="1" applyAlignment="1">
      <alignment horizontal="left" vertical="center" wrapText="1"/>
    </xf>
    <xf numFmtId="41" fontId="2" fillId="3" borderId="17" xfId="2" applyNumberFormat="1" applyFont="1" applyFill="1" applyBorder="1" applyAlignment="1">
      <alignment horizontal="left" vertical="center" wrapText="1"/>
    </xf>
    <xf numFmtId="41" fontId="2" fillId="0" borderId="8" xfId="2" applyNumberFormat="1" applyFont="1" applyBorder="1" applyAlignment="1">
      <alignment vertical="center"/>
    </xf>
    <xf numFmtId="41" fontId="2" fillId="0" borderId="2" xfId="2" applyNumberFormat="1" applyFont="1" applyFill="1" applyBorder="1" applyAlignment="1">
      <alignment vertical="center" wrapText="1"/>
    </xf>
    <xf numFmtId="42" fontId="3" fillId="0" borderId="9" xfId="1" applyNumberFormat="1" applyFont="1" applyBorder="1" applyAlignment="1">
      <alignment vertical="center" wrapText="1"/>
    </xf>
    <xf numFmtId="42" fontId="3" fillId="2" borderId="9" xfId="1" applyNumberFormat="1" applyFont="1" applyFill="1" applyBorder="1" applyAlignment="1">
      <alignment vertical="center" wrapText="1"/>
    </xf>
    <xf numFmtId="42" fontId="3" fillId="3" borderId="9" xfId="1" applyNumberFormat="1" applyFont="1" applyFill="1" applyBorder="1" applyAlignment="1">
      <alignment vertical="center" wrapText="1"/>
    </xf>
    <xf numFmtId="42" fontId="3" fillId="3" borderId="7" xfId="1" applyNumberFormat="1" applyFont="1" applyFill="1" applyBorder="1" applyAlignment="1">
      <alignment vertical="center" wrapText="1"/>
    </xf>
    <xf numFmtId="42" fontId="3" fillId="0" borderId="7" xfId="1" applyNumberFormat="1" applyFont="1" applyBorder="1" applyAlignment="1">
      <alignment vertical="center" wrapText="1"/>
    </xf>
    <xf numFmtId="42" fontId="2" fillId="0" borderId="7" xfId="1" applyNumberFormat="1" applyFont="1" applyBorder="1" applyAlignment="1">
      <alignment vertical="center"/>
    </xf>
    <xf numFmtId="42" fontId="3" fillId="2" borderId="13" xfId="3" applyNumberFormat="1" applyFont="1" applyFill="1" applyBorder="1" applyAlignment="1">
      <alignment horizontal="center" vertical="center"/>
    </xf>
    <xf numFmtId="41" fontId="2" fillId="0" borderId="17" xfId="2" applyNumberFormat="1" applyFont="1" applyBorder="1" applyAlignment="1">
      <alignment horizontal="left" vertical="center"/>
    </xf>
    <xf numFmtId="41" fontId="2" fillId="2" borderId="19" xfId="2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>
      <alignment vertical="center" wrapText="1"/>
    </xf>
    <xf numFmtId="41" fontId="2" fillId="0" borderId="19" xfId="2" applyNumberFormat="1" applyFont="1" applyBorder="1" applyAlignment="1">
      <alignment horizontal="center" vertical="center" wrapText="1"/>
    </xf>
    <xf numFmtId="41" fontId="2" fillId="2" borderId="19" xfId="2" applyNumberFormat="1" applyFont="1" applyFill="1" applyBorder="1" applyAlignment="1">
      <alignment horizontal="left" vertical="center" wrapText="1"/>
    </xf>
    <xf numFmtId="41" fontId="2" fillId="3" borderId="19" xfId="2" applyNumberFormat="1" applyFont="1" applyFill="1" applyBorder="1" applyAlignment="1">
      <alignment horizontal="left" vertical="center" wrapText="1"/>
    </xf>
    <xf numFmtId="41" fontId="2" fillId="0" borderId="2" xfId="2" applyNumberFormat="1" applyFont="1" applyBorder="1" applyAlignment="1">
      <alignment horizontal="left" vertical="center"/>
    </xf>
    <xf numFmtId="42" fontId="2" fillId="0" borderId="9" xfId="2" applyNumberFormat="1" applyFont="1" applyBorder="1" applyAlignment="1">
      <alignment vertical="center"/>
    </xf>
    <xf numFmtId="42" fontId="2" fillId="2" borderId="22" xfId="1" applyNumberFormat="1" applyFont="1" applyFill="1" applyBorder="1" applyAlignment="1">
      <alignment horizontal="center" vertical="center" wrapText="1"/>
    </xf>
    <xf numFmtId="42" fontId="2" fillId="0" borderId="22" xfId="1" applyNumberFormat="1" applyFont="1" applyBorder="1" applyAlignment="1">
      <alignment horizontal="left" vertical="center" wrapText="1"/>
    </xf>
    <xf numFmtId="42" fontId="3" fillId="0" borderId="9" xfId="2" applyNumberFormat="1" applyFont="1" applyBorder="1" applyAlignment="1">
      <alignment horizontal="center" vertical="center" wrapText="1"/>
    </xf>
    <xf numFmtId="41" fontId="3" fillId="0" borderId="2" xfId="1" applyNumberFormat="1" applyFont="1" applyBorder="1" applyAlignment="1">
      <alignment horizontal="left" vertical="center" wrapText="1"/>
    </xf>
    <xf numFmtId="41" fontId="5" fillId="2" borderId="2" xfId="2" applyNumberFormat="1" applyFont="1" applyFill="1" applyBorder="1" applyAlignment="1">
      <alignment horizontal="left" vertical="center"/>
    </xf>
    <xf numFmtId="41" fontId="5" fillId="0" borderId="2" xfId="1" applyNumberFormat="1" applyFont="1" applyBorder="1" applyAlignment="1">
      <alignment vertical="center"/>
    </xf>
    <xf numFmtId="41" fontId="5" fillId="0" borderId="2" xfId="2" applyNumberFormat="1" applyFont="1" applyBorder="1" applyAlignment="1">
      <alignment horizontal="left" vertical="center"/>
    </xf>
    <xf numFmtId="41" fontId="6" fillId="2" borderId="2" xfId="2" applyNumberFormat="1" applyFont="1" applyFill="1" applyBorder="1" applyAlignment="1">
      <alignment horizontal="right" vertical="center"/>
    </xf>
    <xf numFmtId="41" fontId="6" fillId="0" borderId="2" xfId="2" applyNumberFormat="1" applyFont="1" applyBorder="1" applyAlignment="1">
      <alignment horizontal="right" vertical="center"/>
    </xf>
    <xf numFmtId="41" fontId="5" fillId="0" borderId="2" xfId="1" applyNumberFormat="1" applyFont="1" applyBorder="1" applyAlignment="1">
      <alignment horizontal="center" vertical="center" wrapText="1"/>
    </xf>
    <xf numFmtId="41" fontId="5" fillId="2" borderId="2" xfId="1" applyNumberFormat="1" applyFont="1" applyFill="1" applyBorder="1" applyAlignment="1">
      <alignment horizontal="center" vertical="center" wrapText="1"/>
    </xf>
    <xf numFmtId="41" fontId="5" fillId="0" borderId="2" xfId="1" applyNumberFormat="1" applyFont="1" applyBorder="1" applyAlignment="1">
      <alignment horizontal="left" vertical="center" wrapText="1"/>
    </xf>
    <xf numFmtId="41" fontId="3" fillId="2" borderId="2" xfId="1" applyNumberFormat="1" applyFont="1" applyFill="1" applyBorder="1" applyAlignment="1">
      <alignment horizontal="left" vertical="center" wrapText="1"/>
    </xf>
    <xf numFmtId="41" fontId="2" fillId="0" borderId="2" xfId="1" applyNumberFormat="1" applyFont="1" applyBorder="1" applyAlignment="1">
      <alignment vertical="center"/>
    </xf>
    <xf numFmtId="41" fontId="3" fillId="3" borderId="2" xfId="1" applyNumberFormat="1" applyFont="1" applyFill="1" applyBorder="1" applyAlignment="1">
      <alignment horizontal="left" vertical="center" wrapText="1"/>
    </xf>
    <xf numFmtId="41" fontId="5" fillId="2" borderId="2" xfId="1" applyNumberFormat="1" applyFont="1" applyFill="1" applyBorder="1" applyAlignment="1">
      <alignment horizontal="left" vertical="center" wrapText="1"/>
    </xf>
    <xf numFmtId="41" fontId="5" fillId="3" borderId="2" xfId="1" applyNumberFormat="1" applyFont="1" applyFill="1" applyBorder="1" applyAlignment="1">
      <alignment horizontal="left" vertical="center" wrapText="1"/>
    </xf>
    <xf numFmtId="42" fontId="5" fillId="3" borderId="5" xfId="1" applyNumberFormat="1" applyFont="1" applyFill="1" applyBorder="1" applyAlignment="1">
      <alignment horizontal="left" vertical="center" wrapText="1"/>
    </xf>
    <xf numFmtId="42" fontId="5" fillId="0" borderId="5" xfId="1" applyNumberFormat="1" applyFont="1" applyBorder="1" applyAlignment="1">
      <alignment horizontal="left" vertical="center" wrapText="1"/>
    </xf>
    <xf numFmtId="42" fontId="7" fillId="2" borderId="2" xfId="1" applyNumberFormat="1" applyFont="1" applyFill="1" applyBorder="1" applyAlignment="1">
      <alignment horizontal="left" vertical="center" wrapText="1"/>
    </xf>
    <xf numFmtId="42" fontId="7" fillId="0" borderId="2" xfId="1" applyNumberFormat="1" applyFont="1" applyBorder="1" applyAlignment="1">
      <alignment horizontal="left" vertical="center" wrapText="1"/>
    </xf>
    <xf numFmtId="42" fontId="7" fillId="3" borderId="2" xfId="1" applyNumberFormat="1" applyFont="1" applyFill="1" applyBorder="1" applyAlignment="1">
      <alignment horizontal="left" vertical="center" wrapText="1"/>
    </xf>
    <xf numFmtId="42" fontId="7" fillId="3" borderId="5" xfId="1" applyNumberFormat="1" applyFont="1" applyFill="1" applyBorder="1" applyAlignment="1">
      <alignment horizontal="left" vertical="center" wrapText="1"/>
    </xf>
    <xf numFmtId="42" fontId="7" fillId="0" borderId="5" xfId="1" applyNumberFormat="1" applyFont="1" applyBorder="1" applyAlignment="1">
      <alignment horizontal="left" vertical="center" wrapText="1"/>
    </xf>
    <xf numFmtId="42" fontId="3" fillId="0" borderId="21" xfId="1" applyNumberFormat="1" applyFont="1" applyBorder="1" applyAlignment="1">
      <alignment vertical="center"/>
    </xf>
    <xf numFmtId="42" fontId="3" fillId="0" borderId="13" xfId="3" applyNumberFormat="1" applyFont="1" applyBorder="1" applyAlignment="1">
      <alignment vertical="center" wrapText="1"/>
    </xf>
    <xf numFmtId="42" fontId="3" fillId="2" borderId="13" xfId="3" applyNumberFormat="1" applyFont="1" applyFill="1" applyBorder="1" applyAlignment="1">
      <alignment vertical="center" wrapText="1"/>
    </xf>
    <xf numFmtId="42" fontId="3" fillId="2" borderId="13" xfId="3" applyNumberFormat="1" applyFont="1" applyFill="1" applyBorder="1" applyAlignment="1">
      <alignment horizontal="left" vertical="center" wrapText="1" indent="1"/>
    </xf>
    <xf numFmtId="42" fontId="3" fillId="0" borderId="13" xfId="3" applyNumberFormat="1" applyFont="1" applyBorder="1" applyAlignment="1">
      <alignment horizontal="left" vertical="center" wrapText="1" indent="1"/>
    </xf>
    <xf numFmtId="42" fontId="3" fillId="3" borderId="13" xfId="3" applyNumberFormat="1" applyFont="1" applyFill="1" applyBorder="1" applyAlignment="1">
      <alignment horizontal="left" vertical="center" wrapText="1" indent="1"/>
    </xf>
    <xf numFmtId="42" fontId="3" fillId="3" borderId="15" xfId="3" applyNumberFormat="1" applyFont="1" applyFill="1" applyBorder="1" applyAlignment="1">
      <alignment horizontal="left" vertical="center" wrapText="1" indent="1"/>
    </xf>
    <xf numFmtId="42" fontId="3" fillId="0" borderId="15" xfId="3" applyNumberFormat="1" applyFont="1" applyBorder="1" applyAlignment="1">
      <alignment horizontal="left" vertical="center" wrapText="1" indent="1"/>
    </xf>
    <xf numFmtId="41" fontId="3" fillId="0" borderId="17" xfId="2" applyNumberFormat="1" applyFont="1" applyBorder="1" applyAlignment="1">
      <alignment horizontal="left" vertical="center" wrapText="1"/>
    </xf>
    <xf numFmtId="41" fontId="3" fillId="3" borderId="17" xfId="2" applyNumberFormat="1" applyFont="1" applyFill="1" applyBorder="1" applyAlignment="1">
      <alignment horizontal="left" vertical="center" wrapText="1"/>
    </xf>
    <xf numFmtId="42" fontId="3" fillId="3" borderId="20" xfId="2" applyNumberFormat="1" applyFont="1" applyFill="1" applyBorder="1" applyAlignment="1">
      <alignment horizontal="left" vertical="center" wrapText="1"/>
    </xf>
    <xf numFmtId="42" fontId="3" fillId="0" borderId="20" xfId="2" applyNumberFormat="1" applyFont="1" applyBorder="1" applyAlignment="1">
      <alignment horizontal="left" vertical="center" wrapText="1"/>
    </xf>
    <xf numFmtId="41" fontId="3" fillId="0" borderId="2" xfId="2" applyNumberFormat="1" applyFont="1" applyBorder="1" applyAlignment="1">
      <alignment horizontal="left" vertical="center" wrapText="1"/>
    </xf>
    <xf numFmtId="41" fontId="3" fillId="3" borderId="2" xfId="2" applyNumberFormat="1" applyFont="1" applyFill="1" applyBorder="1" applyAlignment="1">
      <alignment horizontal="left" vertical="center" wrapText="1"/>
    </xf>
    <xf numFmtId="42" fontId="3" fillId="3" borderId="5" xfId="2" applyNumberFormat="1" applyFont="1" applyFill="1" applyBorder="1" applyAlignment="1">
      <alignment horizontal="left" vertical="center" wrapText="1"/>
    </xf>
    <xf numFmtId="42" fontId="3" fillId="0" borderId="5" xfId="2" applyNumberFormat="1" applyFont="1" applyBorder="1" applyAlignment="1">
      <alignment horizontal="left" vertical="center" wrapText="1"/>
    </xf>
    <xf numFmtId="42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41" fontId="3" fillId="2" borderId="2" xfId="2" applyNumberFormat="1" applyFont="1" applyFill="1" applyBorder="1" applyAlignment="1">
      <alignment horizontal="left" vertical="center" wrapText="1"/>
    </xf>
    <xf numFmtId="42" fontId="3" fillId="0" borderId="8" xfId="2" applyNumberFormat="1" applyFont="1" applyBorder="1" applyAlignment="1">
      <alignment vertical="center"/>
    </xf>
    <xf numFmtId="41" fontId="3" fillId="2" borderId="2" xfId="2" applyNumberFormat="1" applyFont="1" applyFill="1" applyBorder="1" applyAlignment="1">
      <alignment horizontal="left" vertical="center"/>
    </xf>
    <xf numFmtId="41" fontId="3" fillId="0" borderId="2" xfId="2" applyNumberFormat="1" applyFont="1" applyBorder="1" applyAlignment="1">
      <alignment vertical="center"/>
    </xf>
    <xf numFmtId="41" fontId="3" fillId="0" borderId="2" xfId="2" applyNumberFormat="1" applyFont="1" applyBorder="1" applyAlignment="1">
      <alignment horizontal="left" vertical="center"/>
    </xf>
    <xf numFmtId="41" fontId="3" fillId="2" borderId="2" xfId="2" applyNumberFormat="1" applyFont="1" applyFill="1" applyBorder="1" applyAlignment="1">
      <alignment horizontal="right" vertical="center"/>
    </xf>
    <xf numFmtId="41" fontId="3" fillId="0" borderId="2" xfId="2" applyNumberFormat="1" applyFont="1" applyBorder="1" applyAlignment="1">
      <alignment horizontal="right" vertical="center"/>
    </xf>
    <xf numFmtId="41" fontId="3" fillId="2" borderId="2" xfId="2" applyNumberFormat="1" applyFont="1" applyFill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 wrapText="1"/>
    </xf>
    <xf numFmtId="41" fontId="3" fillId="2" borderId="2" xfId="2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42" fontId="5" fillId="0" borderId="2" xfId="2" applyNumberFormat="1" applyFont="1" applyBorder="1" applyAlignment="1">
      <alignment vertical="center"/>
    </xf>
    <xf numFmtId="42" fontId="5" fillId="2" borderId="2" xfId="2" applyNumberFormat="1" applyFont="1" applyFill="1" applyBorder="1" applyAlignment="1">
      <alignment vertical="center"/>
    </xf>
    <xf numFmtId="42" fontId="2" fillId="2" borderId="2" xfId="2" applyNumberFormat="1" applyFont="1" applyFill="1" applyBorder="1" applyAlignment="1">
      <alignment horizontal="center" vertical="center"/>
    </xf>
    <xf numFmtId="42" fontId="2" fillId="0" borderId="2" xfId="1" applyNumberFormat="1" applyFont="1" applyBorder="1" applyAlignment="1">
      <alignment horizontal="center" vertical="center" wrapText="1"/>
    </xf>
    <xf numFmtId="42" fontId="2" fillId="2" borderId="2" xfId="1" applyNumberFormat="1" applyFont="1" applyFill="1" applyBorder="1" applyAlignment="1">
      <alignment horizontal="center" vertical="center" wrapText="1"/>
    </xf>
    <xf numFmtId="42" fontId="3" fillId="2" borderId="2" xfId="2" applyNumberFormat="1" applyFont="1" applyFill="1" applyBorder="1" applyAlignment="1">
      <alignment horizontal="left" vertical="center" wrapText="1"/>
    </xf>
    <xf numFmtId="42" fontId="8" fillId="0" borderId="2" xfId="3" applyNumberFormat="1" applyFont="1" applyBorder="1" applyAlignment="1">
      <alignment horizontal="left" wrapText="1"/>
    </xf>
    <xf numFmtId="42" fontId="3" fillId="3" borderId="2" xfId="2" applyNumberFormat="1" applyFont="1" applyFill="1" applyBorder="1" applyAlignment="1">
      <alignment horizontal="left" vertical="center" wrapText="1"/>
    </xf>
    <xf numFmtId="42" fontId="2" fillId="0" borderId="2" xfId="3" applyNumberFormat="1" applyFont="1" applyBorder="1" applyAlignment="1">
      <alignment horizontal="left" wrapText="1"/>
    </xf>
    <xf numFmtId="42" fontId="6" fillId="2" borderId="2" xfId="1" applyNumberFormat="1" applyFont="1" applyFill="1" applyBorder="1" applyAlignment="1">
      <alignment horizontal="center" vertical="center" wrapText="1"/>
    </xf>
    <xf numFmtId="42" fontId="6" fillId="0" borderId="2" xfId="1" applyNumberFormat="1" applyFont="1" applyBorder="1" applyAlignment="1">
      <alignment horizontal="center" vertical="center" wrapText="1"/>
    </xf>
    <xf numFmtId="42" fontId="3" fillId="4" borderId="2" xfId="1" applyNumberFormat="1" applyFont="1" applyFill="1" applyBorder="1" applyAlignment="1">
      <alignment horizontal="left" vertical="center" wrapText="1"/>
    </xf>
    <xf numFmtId="42" fontId="3" fillId="4" borderId="5" xfId="1" applyNumberFormat="1" applyFont="1" applyFill="1" applyBorder="1" applyAlignment="1">
      <alignment horizontal="left" vertical="center" wrapText="1"/>
    </xf>
    <xf numFmtId="42" fontId="2" fillId="4" borderId="5" xfId="1" applyNumberFormat="1" applyFont="1" applyFill="1" applyBorder="1" applyAlignment="1">
      <alignment horizontal="left" vertical="center" wrapText="1"/>
    </xf>
    <xf numFmtId="42" fontId="4" fillId="2" borderId="2" xfId="1" applyNumberFormat="1" applyFont="1" applyFill="1" applyBorder="1" applyAlignment="1">
      <alignment horizontal="left" vertical="center" wrapText="1"/>
    </xf>
    <xf numFmtId="42" fontId="4" fillId="0" borderId="2" xfId="1" applyNumberFormat="1" applyFont="1" applyBorder="1" applyAlignment="1">
      <alignment horizontal="left" vertical="center" wrapText="1"/>
    </xf>
    <xf numFmtId="42" fontId="4" fillId="3" borderId="2" xfId="1" applyNumberFormat="1" applyFont="1" applyFill="1" applyBorder="1" applyAlignment="1">
      <alignment horizontal="left" vertical="center" wrapText="1"/>
    </xf>
    <xf numFmtId="42" fontId="4" fillId="3" borderId="5" xfId="1" applyNumberFormat="1" applyFont="1" applyFill="1" applyBorder="1" applyAlignment="1">
      <alignment horizontal="left" vertical="center" wrapText="1"/>
    </xf>
    <xf numFmtId="42" fontId="4" fillId="0" borderId="5" xfId="1" applyNumberFormat="1" applyFont="1" applyBorder="1" applyAlignment="1">
      <alignment horizontal="left" vertical="center" wrapText="1"/>
    </xf>
    <xf numFmtId="42" fontId="2" fillId="0" borderId="9" xfId="1" applyNumberFormat="1" applyFont="1" applyBorder="1" applyAlignment="1">
      <alignment horizontal="center" vertical="center"/>
    </xf>
    <xf numFmtId="42" fontId="2" fillId="0" borderId="21" xfId="1" applyNumberFormat="1" applyFont="1" applyBorder="1" applyAlignment="1">
      <alignment horizontal="center" vertical="center"/>
    </xf>
    <xf numFmtId="42" fontId="3" fillId="2" borderId="9" xfId="1" applyNumberFormat="1" applyFont="1" applyFill="1" applyBorder="1" applyAlignment="1">
      <alignment horizontal="center" vertical="center"/>
    </xf>
    <xf numFmtId="42" fontId="3" fillId="0" borderId="9" xfId="1" applyNumberFormat="1" applyFont="1" applyBorder="1" applyAlignment="1">
      <alignment horizontal="center" vertical="center"/>
    </xf>
    <xf numFmtId="42" fontId="3" fillId="0" borderId="9" xfId="2" applyNumberFormat="1" applyFont="1" applyBorder="1" applyAlignment="1">
      <alignment horizontal="center" vertical="center"/>
    </xf>
    <xf numFmtId="42" fontId="3" fillId="2" borderId="9" xfId="2" applyNumberFormat="1" applyFont="1" applyFill="1" applyBorder="1" applyAlignment="1">
      <alignment horizontal="center" vertical="center"/>
    </xf>
    <xf numFmtId="42" fontId="3" fillId="3" borderId="9" xfId="1" applyNumberFormat="1" applyFont="1" applyFill="1" applyBorder="1" applyAlignment="1">
      <alignment horizontal="center" vertical="center" wrapText="1"/>
    </xf>
    <xf numFmtId="42" fontId="3" fillId="3" borderId="7" xfId="1" applyNumberFormat="1" applyFont="1" applyFill="1" applyBorder="1" applyAlignment="1">
      <alignment horizontal="center" vertical="center" wrapText="1"/>
    </xf>
    <xf numFmtId="42" fontId="3" fillId="0" borderId="7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3" fillId="2" borderId="23" xfId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3" xfId="2" applyNumberFormat="1" applyFont="1" applyBorder="1" applyAlignment="1">
      <alignment horizontal="center" vertical="center"/>
    </xf>
    <xf numFmtId="0" fontId="3" fillId="2" borderId="23" xfId="2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</cellXfs>
  <cellStyles count="4">
    <cellStyle name="Comma 2" xfId="2" xr:uid="{DE4FCC57-E678-154E-A92F-75D017EF9051}"/>
    <cellStyle name="Currency 2" xfId="3" xr:uid="{005BE638-1B4A-D241-9FA7-FE72FBDA5564}"/>
    <cellStyle name="Normal" xfId="0" builtinId="0"/>
    <cellStyle name="Normal 2" xfId="1" xr:uid="{4BE6AA72-A488-734C-8B48-47DA85DD8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2F46-DB90-8542-A33F-B822762B44F2}">
  <sheetPr>
    <pageSetUpPr fitToPage="1"/>
  </sheetPr>
  <dimension ref="A1:AU133"/>
  <sheetViews>
    <sheetView tabSelected="1" zoomScale="140" zoomScaleNormal="140" workbookViewId="0">
      <pane ySplit="2" topLeftCell="A3" activePane="bottomLeft" state="frozen"/>
      <selection pane="bottomLeft" activeCell="B1" sqref="B1"/>
    </sheetView>
  </sheetViews>
  <sheetFormatPr baseColWidth="10" defaultColWidth="8.83203125" defaultRowHeight="13" x14ac:dyDescent="0.2"/>
  <cols>
    <col min="1" max="1" width="3.33203125" style="1" customWidth="1"/>
    <col min="2" max="2" width="42.33203125" style="11" customWidth="1"/>
    <col min="3" max="3" width="18.1640625" style="11" customWidth="1"/>
    <col min="4" max="4" width="13.83203125" style="15" hidden="1" customWidth="1"/>
    <col min="5" max="5" width="15.5" style="16" customWidth="1"/>
    <col min="6" max="6" width="15.5" style="15" customWidth="1"/>
    <col min="7" max="7" width="15.6640625" style="11" hidden="1" customWidth="1"/>
    <col min="8" max="8" width="14.6640625" style="14" customWidth="1"/>
    <col min="9" max="9" width="15.83203125" style="11" hidden="1" customWidth="1"/>
    <col min="10" max="10" width="15.1640625" style="14" customWidth="1"/>
    <col min="11" max="11" width="15.83203125" style="11" hidden="1" customWidth="1"/>
    <col min="12" max="12" width="15" style="14" customWidth="1"/>
    <col min="13" max="13" width="15.5" style="13" hidden="1" customWidth="1"/>
    <col min="14" max="14" width="15.5" style="12" customWidth="1"/>
    <col min="15" max="15" width="15.33203125" style="11" hidden="1" customWidth="1"/>
    <col min="16" max="16" width="13.83203125" style="10" customWidth="1"/>
    <col min="17" max="17" width="14" style="9" hidden="1" customWidth="1"/>
    <col min="18" max="18" width="15" style="7" customWidth="1"/>
    <col min="19" max="19" width="14.33203125" style="8" hidden="1" customWidth="1"/>
    <col min="20" max="20" width="14.5" style="7" customWidth="1"/>
    <col min="21" max="21" width="15.33203125" style="6" hidden="1" customWidth="1"/>
    <col min="22" max="22" width="13.6640625" style="5" customWidth="1"/>
    <col min="23" max="23" width="14.1640625" style="4" hidden="1" customWidth="1"/>
    <col min="24" max="24" width="15.5" style="3" customWidth="1"/>
    <col min="25" max="25" width="15.33203125" style="4" hidden="1" customWidth="1"/>
    <col min="26" max="26" width="14.33203125" style="3" customWidth="1"/>
    <col min="27" max="27" width="13.33203125" style="1" hidden="1" customWidth="1"/>
    <col min="28" max="28" width="14" style="3" customWidth="1"/>
    <col min="29" max="29" width="13.5" style="1" hidden="1" customWidth="1"/>
    <col min="30" max="30" width="13.5" style="2" customWidth="1"/>
    <col min="31" max="31" width="13.33203125" style="1" hidden="1" customWidth="1"/>
    <col min="32" max="32" width="13.33203125" style="2" customWidth="1"/>
    <col min="33" max="33" width="13.5" style="1" hidden="1" customWidth="1"/>
    <col min="34" max="34" width="14" style="2" customWidth="1"/>
    <col min="35" max="35" width="13.33203125" style="1" hidden="1" customWidth="1"/>
    <col min="36" max="36" width="13" style="2" customWidth="1"/>
    <col min="37" max="37" width="10.83203125" style="1" hidden="1" customWidth="1"/>
    <col min="38" max="38" width="11.1640625" style="2" customWidth="1"/>
    <col min="39" max="39" width="11.33203125" style="2" customWidth="1"/>
    <col min="40" max="40" width="8.83203125" style="1"/>
    <col min="41" max="41" width="0" style="1" hidden="1" customWidth="1"/>
    <col min="42" max="16384" width="8.83203125" style="1"/>
  </cols>
  <sheetData>
    <row r="1" spans="2:40" s="331" customFormat="1" ht="15" thickBot="1" x14ac:dyDescent="0.25">
      <c r="B1" s="341" t="s">
        <v>120</v>
      </c>
      <c r="C1" s="341">
        <v>2024</v>
      </c>
      <c r="D1" s="340">
        <v>2023</v>
      </c>
      <c r="E1" s="337">
        <v>2023</v>
      </c>
      <c r="F1" s="339">
        <v>2022</v>
      </c>
      <c r="G1" s="337">
        <v>2022</v>
      </c>
      <c r="H1" s="338">
        <v>2021</v>
      </c>
      <c r="I1" s="337">
        <v>2021</v>
      </c>
      <c r="J1" s="338">
        <v>2020</v>
      </c>
      <c r="K1" s="337">
        <v>2020</v>
      </c>
      <c r="L1" s="338">
        <v>2019</v>
      </c>
      <c r="M1" s="337">
        <v>2019</v>
      </c>
      <c r="N1" s="338">
        <v>2018</v>
      </c>
      <c r="O1" s="337">
        <v>2018</v>
      </c>
      <c r="P1" s="338">
        <v>2017</v>
      </c>
      <c r="Q1" s="337">
        <v>2017</v>
      </c>
      <c r="R1" s="336">
        <v>2016</v>
      </c>
      <c r="S1" s="335">
        <v>2016</v>
      </c>
      <c r="T1" s="333">
        <v>2015</v>
      </c>
      <c r="U1" s="335">
        <v>2015</v>
      </c>
      <c r="V1" s="333">
        <v>2014</v>
      </c>
      <c r="W1" s="334">
        <v>2014</v>
      </c>
      <c r="X1" s="333">
        <v>2013</v>
      </c>
      <c r="Y1" s="334">
        <v>2013</v>
      </c>
      <c r="Z1" s="333">
        <v>2012</v>
      </c>
      <c r="AA1" s="334">
        <v>2012</v>
      </c>
      <c r="AB1" s="333">
        <v>2011</v>
      </c>
      <c r="AC1" s="334">
        <v>2011</v>
      </c>
      <c r="AD1" s="333">
        <v>2010</v>
      </c>
      <c r="AE1" s="334">
        <v>2010</v>
      </c>
      <c r="AF1" s="333">
        <v>2009</v>
      </c>
      <c r="AG1" s="334">
        <v>2009</v>
      </c>
      <c r="AH1" s="333">
        <v>2008</v>
      </c>
      <c r="AI1" s="334">
        <v>2008</v>
      </c>
      <c r="AJ1" s="333">
        <v>2007</v>
      </c>
      <c r="AK1" s="334"/>
      <c r="AL1" s="333">
        <v>2006</v>
      </c>
      <c r="AM1" s="333">
        <v>2005</v>
      </c>
      <c r="AN1" s="332"/>
    </row>
    <row r="2" spans="2:40" s="322" customFormat="1" ht="14" x14ac:dyDescent="0.2">
      <c r="B2" s="330" t="s">
        <v>119</v>
      </c>
      <c r="C2" s="330" t="s">
        <v>117</v>
      </c>
      <c r="D2" s="329" t="s">
        <v>115</v>
      </c>
      <c r="E2" s="77" t="s">
        <v>117</v>
      </c>
      <c r="F2" s="328" t="s">
        <v>115</v>
      </c>
      <c r="G2" s="77" t="s">
        <v>117</v>
      </c>
      <c r="H2" s="76" t="s">
        <v>115</v>
      </c>
      <c r="I2" s="77" t="s">
        <v>117</v>
      </c>
      <c r="J2" s="76" t="s">
        <v>115</v>
      </c>
      <c r="K2" s="77" t="s">
        <v>117</v>
      </c>
      <c r="L2" s="76" t="s">
        <v>115</v>
      </c>
      <c r="M2" s="77" t="s">
        <v>118</v>
      </c>
      <c r="N2" s="76" t="s">
        <v>115</v>
      </c>
      <c r="O2" s="77" t="s">
        <v>117</v>
      </c>
      <c r="P2" s="204" t="s">
        <v>115</v>
      </c>
      <c r="Q2" s="252" t="s">
        <v>118</v>
      </c>
      <c r="R2" s="327" t="s">
        <v>115</v>
      </c>
      <c r="S2" s="326" t="s">
        <v>118</v>
      </c>
      <c r="T2" s="324" t="s">
        <v>115</v>
      </c>
      <c r="U2" s="326" t="s">
        <v>117</v>
      </c>
      <c r="V2" s="324" t="s">
        <v>115</v>
      </c>
      <c r="W2" s="325" t="s">
        <v>117</v>
      </c>
      <c r="X2" s="324" t="s">
        <v>115</v>
      </c>
      <c r="Y2" s="325" t="s">
        <v>117</v>
      </c>
      <c r="Z2" s="324" t="s">
        <v>115</v>
      </c>
      <c r="AA2" s="325" t="s">
        <v>117</v>
      </c>
      <c r="AB2" s="324" t="s">
        <v>115</v>
      </c>
      <c r="AC2" s="325" t="s">
        <v>117</v>
      </c>
      <c r="AD2" s="324" t="s">
        <v>115</v>
      </c>
      <c r="AE2" s="325" t="s">
        <v>117</v>
      </c>
      <c r="AF2" s="324" t="s">
        <v>115</v>
      </c>
      <c r="AG2" s="325" t="s">
        <v>117</v>
      </c>
      <c r="AH2" s="324" t="s">
        <v>115</v>
      </c>
      <c r="AI2" s="325" t="s">
        <v>117</v>
      </c>
      <c r="AJ2" s="324" t="s">
        <v>115</v>
      </c>
      <c r="AK2" s="325" t="s">
        <v>116</v>
      </c>
      <c r="AL2" s="324" t="s">
        <v>115</v>
      </c>
      <c r="AM2" s="324" t="s">
        <v>115</v>
      </c>
      <c r="AN2" s="323"/>
    </row>
    <row r="3" spans="2:40" s="184" customFormat="1" ht="15" x14ac:dyDescent="0.2">
      <c r="B3" s="321" t="s">
        <v>114</v>
      </c>
      <c r="C3" s="321"/>
      <c r="D3" s="320"/>
      <c r="E3" s="318"/>
      <c r="F3" s="319"/>
      <c r="G3" s="318"/>
      <c r="H3" s="317"/>
      <c r="I3" s="318"/>
      <c r="J3" s="317"/>
      <c r="K3" s="318"/>
      <c r="L3" s="317"/>
      <c r="M3" s="313"/>
      <c r="N3" s="312"/>
      <c r="O3" s="195"/>
      <c r="P3" s="307"/>
      <c r="Q3" s="306"/>
      <c r="R3" s="37"/>
      <c r="S3" s="38"/>
      <c r="T3" s="37"/>
      <c r="U3" s="38"/>
      <c r="V3" s="37"/>
      <c r="W3" s="36"/>
      <c r="X3" s="35"/>
      <c r="Y3" s="36"/>
      <c r="Z3" s="35"/>
      <c r="AB3" s="35"/>
      <c r="AD3" s="186"/>
      <c r="AF3" s="186"/>
      <c r="AH3" s="186"/>
      <c r="AJ3" s="186"/>
      <c r="AL3" s="186"/>
      <c r="AM3" s="186"/>
      <c r="AN3" s="185"/>
    </row>
    <row r="4" spans="2:40" s="184" customFormat="1" ht="14" x14ac:dyDescent="0.2">
      <c r="B4" s="315" t="s">
        <v>113</v>
      </c>
      <c r="C4" s="315"/>
      <c r="D4" s="196"/>
      <c r="E4" s="314"/>
      <c r="F4" s="65"/>
      <c r="G4" s="314"/>
      <c r="H4" s="63"/>
      <c r="I4" s="314"/>
      <c r="J4" s="63"/>
      <c r="K4" s="314"/>
      <c r="L4" s="63"/>
      <c r="M4" s="313"/>
      <c r="N4" s="312"/>
      <c r="O4" s="195"/>
      <c r="P4" s="186"/>
      <c r="Q4" s="306"/>
      <c r="R4" s="37"/>
      <c r="S4" s="38"/>
      <c r="T4" s="37"/>
      <c r="U4" s="38"/>
      <c r="V4" s="37"/>
      <c r="W4" s="36"/>
      <c r="X4" s="35"/>
      <c r="Y4" s="36"/>
      <c r="Z4" s="35"/>
      <c r="AB4" s="35"/>
      <c r="AD4" s="186"/>
      <c r="AF4" s="186"/>
      <c r="AH4" s="186"/>
      <c r="AJ4" s="186"/>
      <c r="AL4" s="186"/>
      <c r="AM4" s="186"/>
      <c r="AN4" s="185"/>
    </row>
    <row r="5" spans="2:40" s="184" customFormat="1" ht="14" x14ac:dyDescent="0.2">
      <c r="B5" s="315" t="s">
        <v>112</v>
      </c>
      <c r="C5" s="315">
        <f>393*12*74</f>
        <v>348984</v>
      </c>
      <c r="D5" s="196"/>
      <c r="E5" s="314"/>
      <c r="F5" s="65"/>
      <c r="G5" s="314"/>
      <c r="H5" s="63"/>
      <c r="I5" s="314"/>
      <c r="J5" s="63"/>
      <c r="K5" s="314"/>
      <c r="L5" s="63"/>
      <c r="M5" s="313"/>
      <c r="N5" s="312"/>
      <c r="O5" s="195"/>
      <c r="P5" s="186"/>
      <c r="Q5" s="306"/>
      <c r="R5" s="37"/>
      <c r="S5" s="38"/>
      <c r="T5" s="37"/>
      <c r="U5" s="38"/>
      <c r="V5" s="37"/>
      <c r="W5" s="36"/>
      <c r="X5" s="35"/>
      <c r="Y5" s="36"/>
      <c r="Z5" s="35"/>
      <c r="AB5" s="35"/>
      <c r="AD5" s="186"/>
      <c r="AF5" s="186"/>
      <c r="AH5" s="186"/>
      <c r="AJ5" s="186"/>
      <c r="AL5" s="186"/>
      <c r="AM5" s="186"/>
      <c r="AN5" s="185"/>
    </row>
    <row r="6" spans="2:40" s="184" customFormat="1" ht="14" x14ac:dyDescent="0.2">
      <c r="B6" s="316" t="s">
        <v>111</v>
      </c>
      <c r="D6" s="196"/>
      <c r="E6" s="314">
        <f>74*363*12</f>
        <v>322344</v>
      </c>
      <c r="F6" s="65"/>
      <c r="G6" s="314"/>
      <c r="H6" s="63"/>
      <c r="I6" s="314"/>
      <c r="J6" s="63"/>
      <c r="K6" s="314"/>
      <c r="L6" s="63"/>
      <c r="M6" s="313"/>
      <c r="N6" s="312"/>
      <c r="O6" s="195"/>
      <c r="P6" s="186"/>
      <c r="Q6" s="306"/>
      <c r="R6" s="37"/>
      <c r="S6" s="38"/>
      <c r="T6" s="37"/>
      <c r="U6" s="38"/>
      <c r="V6" s="37"/>
      <c r="W6" s="36"/>
      <c r="X6" s="35"/>
      <c r="Y6" s="36"/>
      <c r="Z6" s="35"/>
      <c r="AB6" s="35"/>
      <c r="AD6" s="186"/>
      <c r="AF6" s="186"/>
      <c r="AH6" s="186"/>
      <c r="AJ6" s="186"/>
      <c r="AL6" s="186"/>
      <c r="AM6" s="186"/>
      <c r="AN6" s="185"/>
    </row>
    <row r="7" spans="2:40" s="184" customFormat="1" ht="14" x14ac:dyDescent="0.2">
      <c r="B7" s="316" t="s">
        <v>110</v>
      </c>
      <c r="C7" s="315"/>
      <c r="D7" s="196"/>
      <c r="E7" s="314"/>
      <c r="F7" s="65"/>
      <c r="G7" s="314">
        <f>74*319*12+74*34*12</f>
        <v>313464</v>
      </c>
      <c r="H7" s="63"/>
      <c r="I7" s="314"/>
      <c r="J7" s="63"/>
      <c r="K7" s="314"/>
      <c r="L7" s="63"/>
      <c r="M7" s="313"/>
      <c r="N7" s="312"/>
      <c r="O7" s="195"/>
      <c r="P7" s="49"/>
      <c r="Q7" s="306"/>
      <c r="R7" s="37"/>
      <c r="S7" s="38"/>
      <c r="T7" s="37"/>
      <c r="U7" s="38"/>
      <c r="V7" s="37"/>
      <c r="W7" s="36"/>
      <c r="X7" s="35"/>
      <c r="Y7" s="36"/>
      <c r="Z7" s="35"/>
      <c r="AB7" s="35"/>
      <c r="AD7" s="186"/>
      <c r="AF7" s="186"/>
      <c r="AH7" s="186"/>
      <c r="AJ7" s="186"/>
      <c r="AL7" s="186"/>
      <c r="AM7" s="186"/>
      <c r="AN7" s="185"/>
    </row>
    <row r="8" spans="2:40" s="184" customFormat="1" ht="16.5" customHeight="1" x14ac:dyDescent="0.2">
      <c r="B8" s="45" t="s">
        <v>109</v>
      </c>
      <c r="C8" s="45"/>
      <c r="D8" s="48"/>
      <c r="E8" s="62"/>
      <c r="F8" s="310"/>
      <c r="G8" s="62"/>
      <c r="H8" s="308"/>
      <c r="I8" s="62"/>
      <c r="J8" s="308"/>
      <c r="K8" s="62"/>
      <c r="L8" s="308"/>
      <c r="M8" s="39">
        <f>74*357*12</f>
        <v>317016</v>
      </c>
      <c r="N8" s="49"/>
      <c r="O8" s="195"/>
      <c r="P8" s="49"/>
      <c r="Q8" s="306"/>
      <c r="R8" s="37"/>
      <c r="S8" s="38"/>
      <c r="T8" s="37"/>
      <c r="U8" s="38"/>
      <c r="V8" s="37"/>
      <c r="W8" s="36"/>
      <c r="X8" s="35"/>
      <c r="Y8" s="36"/>
      <c r="Z8" s="35"/>
      <c r="AB8" s="35"/>
      <c r="AD8" s="186"/>
      <c r="AF8" s="186"/>
      <c r="AH8" s="186"/>
      <c r="AJ8" s="186"/>
      <c r="AL8" s="186"/>
      <c r="AM8" s="186"/>
      <c r="AN8" s="185"/>
    </row>
    <row r="9" spans="2:40" s="184" customFormat="1" ht="16.5" customHeight="1" x14ac:dyDescent="0.15">
      <c r="B9" s="45" t="s">
        <v>108</v>
      </c>
      <c r="C9" s="45"/>
      <c r="D9" s="48"/>
      <c r="E9" s="62"/>
      <c r="F9" s="310"/>
      <c r="G9" s="62"/>
      <c r="H9" s="308"/>
      <c r="I9" s="62"/>
      <c r="J9" s="308"/>
      <c r="K9" s="311">
        <f>74*349*12</f>
        <v>309912</v>
      </c>
      <c r="L9" s="308"/>
      <c r="M9" s="39"/>
      <c r="N9" s="49"/>
      <c r="O9" s="195"/>
      <c r="P9" s="49"/>
      <c r="Q9" s="306"/>
      <c r="R9" s="37"/>
      <c r="S9" s="38"/>
      <c r="T9" s="37"/>
      <c r="U9" s="38"/>
      <c r="V9" s="37"/>
      <c r="W9" s="36"/>
      <c r="X9" s="35"/>
      <c r="Y9" s="36"/>
      <c r="Z9" s="35"/>
      <c r="AB9" s="35"/>
      <c r="AD9" s="186"/>
      <c r="AF9" s="186"/>
      <c r="AH9" s="186"/>
      <c r="AJ9" s="186"/>
      <c r="AL9" s="186"/>
      <c r="AM9" s="186"/>
      <c r="AN9" s="185"/>
    </row>
    <row r="10" spans="2:40" s="184" customFormat="1" ht="16.5" customHeight="1" x14ac:dyDescent="0.2">
      <c r="B10" s="45" t="s">
        <v>107</v>
      </c>
      <c r="C10" s="45"/>
      <c r="D10" s="48"/>
      <c r="E10" s="62"/>
      <c r="F10" s="310"/>
      <c r="G10" s="62"/>
      <c r="H10" s="308"/>
      <c r="I10" s="41">
        <f>74*341*12</f>
        <v>302808</v>
      </c>
      <c r="J10" s="308"/>
      <c r="K10" s="309"/>
      <c r="L10" s="308"/>
      <c r="M10" s="39"/>
      <c r="N10" s="49"/>
      <c r="O10" s="195"/>
      <c r="P10" s="49"/>
      <c r="Q10" s="306"/>
      <c r="R10" s="37"/>
      <c r="S10" s="38"/>
      <c r="T10" s="37"/>
      <c r="U10" s="38"/>
      <c r="V10" s="37"/>
      <c r="W10" s="36"/>
      <c r="X10" s="35"/>
      <c r="Y10" s="36"/>
      <c r="Z10" s="35"/>
      <c r="AB10" s="35"/>
      <c r="AD10" s="186"/>
      <c r="AF10" s="186"/>
      <c r="AH10" s="186"/>
      <c r="AJ10" s="186"/>
      <c r="AL10" s="186"/>
      <c r="AM10" s="186"/>
      <c r="AN10" s="185"/>
    </row>
    <row r="11" spans="2:40" s="184" customFormat="1" ht="14" x14ac:dyDescent="0.2">
      <c r="B11" s="45" t="s">
        <v>106</v>
      </c>
      <c r="C11" s="45"/>
      <c r="D11" s="48"/>
      <c r="E11" s="41"/>
      <c r="F11" s="53"/>
      <c r="G11" s="41"/>
      <c r="H11" s="52"/>
      <c r="I11" s="41"/>
      <c r="J11" s="52"/>
      <c r="K11" s="41"/>
      <c r="L11" s="52"/>
      <c r="M11" s="39"/>
      <c r="N11" s="49"/>
      <c r="O11" s="41">
        <f>322*74*12</f>
        <v>285936</v>
      </c>
      <c r="P11" s="307"/>
      <c r="Q11" s="306"/>
      <c r="R11" s="37"/>
      <c r="S11" s="38"/>
      <c r="T11" s="37"/>
      <c r="U11" s="38"/>
      <c r="V11" s="37"/>
      <c r="W11" s="36"/>
      <c r="X11" s="35"/>
      <c r="Y11" s="36"/>
      <c r="Z11" s="35"/>
      <c r="AB11" s="35"/>
      <c r="AD11" s="186"/>
      <c r="AF11" s="186"/>
      <c r="AH11" s="186"/>
      <c r="AJ11" s="186"/>
      <c r="AL11" s="186"/>
      <c r="AM11" s="186"/>
      <c r="AN11" s="185"/>
    </row>
    <row r="12" spans="2:40" s="33" customFormat="1" ht="14" x14ac:dyDescent="0.2">
      <c r="B12" s="45" t="s">
        <v>105</v>
      </c>
      <c r="C12" s="45"/>
      <c r="D12" s="48"/>
      <c r="E12" s="41"/>
      <c r="F12" s="53"/>
      <c r="G12" s="41"/>
      <c r="H12" s="52"/>
      <c r="I12" s="41"/>
      <c r="J12" s="52"/>
      <c r="K12" s="41"/>
      <c r="L12" s="52"/>
      <c r="M12" s="39"/>
      <c r="N12" s="49"/>
      <c r="O12" s="41"/>
      <c r="P12" s="49" t="s">
        <v>0</v>
      </c>
      <c r="Q12" s="39">
        <f>74*312*12</f>
        <v>277056</v>
      </c>
      <c r="R12" s="191"/>
      <c r="S12" s="192"/>
      <c r="T12" s="191"/>
      <c r="U12" s="192"/>
      <c r="V12" s="191"/>
      <c r="W12" s="190"/>
      <c r="X12" s="189"/>
      <c r="Y12" s="190"/>
      <c r="Z12" s="189"/>
      <c r="AA12" s="303"/>
      <c r="AB12" s="189"/>
      <c r="AC12" s="303"/>
      <c r="AD12" s="304"/>
      <c r="AE12" s="303"/>
      <c r="AF12" s="304"/>
      <c r="AG12" s="303"/>
      <c r="AH12" s="304"/>
      <c r="AI12" s="303"/>
      <c r="AJ12" s="34"/>
      <c r="AL12" s="34"/>
      <c r="AM12" s="34"/>
      <c r="AN12" s="171"/>
    </row>
    <row r="13" spans="2:40" s="33" customFormat="1" ht="14" x14ac:dyDescent="0.2">
      <c r="B13" s="45" t="s">
        <v>104</v>
      </c>
      <c r="C13" s="45"/>
      <c r="D13" s="48"/>
      <c r="E13" s="41"/>
      <c r="F13" s="53"/>
      <c r="G13" s="41"/>
      <c r="H13" s="52"/>
      <c r="I13" s="41"/>
      <c r="J13" s="52"/>
      <c r="K13" s="41"/>
      <c r="L13" s="52"/>
      <c r="M13" s="39"/>
      <c r="N13" s="49"/>
      <c r="O13" s="41"/>
      <c r="P13" s="49"/>
      <c r="Q13" s="39"/>
      <c r="R13" s="305">
        <v>269064</v>
      </c>
      <c r="S13" s="38">
        <v>269064</v>
      </c>
      <c r="T13" s="35"/>
      <c r="U13" s="192"/>
      <c r="V13" s="191"/>
      <c r="W13" s="190"/>
      <c r="X13" s="189"/>
      <c r="Y13" s="190"/>
      <c r="Z13" s="189"/>
      <c r="AA13" s="303"/>
      <c r="AB13" s="189"/>
      <c r="AC13" s="303"/>
      <c r="AD13" s="304"/>
      <c r="AE13" s="303"/>
      <c r="AF13" s="304"/>
      <c r="AG13" s="303"/>
      <c r="AH13" s="304"/>
      <c r="AI13" s="303"/>
      <c r="AJ13" s="34"/>
      <c r="AL13" s="34"/>
      <c r="AM13" s="34"/>
      <c r="AN13" s="171"/>
    </row>
    <row r="14" spans="2:40" s="33" customFormat="1" ht="14" x14ac:dyDescent="0.2">
      <c r="B14" s="45" t="s">
        <v>103</v>
      </c>
      <c r="C14" s="45"/>
      <c r="D14" s="48"/>
      <c r="E14" s="41"/>
      <c r="F14" s="53"/>
      <c r="G14" s="41"/>
      <c r="H14" s="52"/>
      <c r="I14" s="41"/>
      <c r="J14" s="52"/>
      <c r="K14" s="41"/>
      <c r="L14" s="52"/>
      <c r="M14" s="39"/>
      <c r="N14" s="49"/>
      <c r="O14" s="41"/>
      <c r="P14" s="49"/>
      <c r="Q14" s="39"/>
      <c r="R14" s="34"/>
      <c r="S14" s="38"/>
      <c r="T14" s="37">
        <v>260412</v>
      </c>
      <c r="U14" s="38">
        <v>261072</v>
      </c>
      <c r="V14" s="37"/>
      <c r="W14" s="190"/>
      <c r="X14" s="189"/>
      <c r="Y14" s="190"/>
      <c r="Z14" s="189"/>
      <c r="AA14" s="303"/>
      <c r="AB14" s="189"/>
      <c r="AC14" s="303"/>
      <c r="AD14" s="304"/>
      <c r="AE14" s="303"/>
      <c r="AF14" s="304"/>
      <c r="AG14" s="303"/>
      <c r="AH14" s="304"/>
      <c r="AI14" s="303"/>
      <c r="AJ14" s="34"/>
      <c r="AL14" s="34"/>
      <c r="AM14" s="34"/>
      <c r="AN14" s="171"/>
    </row>
    <row r="15" spans="2:40" s="33" customFormat="1" ht="14" x14ac:dyDescent="0.2">
      <c r="B15" s="45" t="s">
        <v>102</v>
      </c>
      <c r="C15" s="45"/>
      <c r="D15" s="48"/>
      <c r="E15" s="41"/>
      <c r="F15" s="53"/>
      <c r="G15" s="41"/>
      <c r="H15" s="52"/>
      <c r="I15" s="41"/>
      <c r="J15" s="52"/>
      <c r="K15" s="41"/>
      <c r="L15" s="52"/>
      <c r="M15" s="39"/>
      <c r="N15" s="49"/>
      <c r="O15" s="41"/>
      <c r="P15" s="49"/>
      <c r="Q15" s="39"/>
      <c r="R15" s="305"/>
      <c r="S15" s="38"/>
      <c r="T15" s="37"/>
      <c r="U15" s="38"/>
      <c r="V15" s="37">
        <v>253080</v>
      </c>
      <c r="W15" s="36">
        <v>253080</v>
      </c>
      <c r="X15" s="35"/>
      <c r="Y15" s="190"/>
      <c r="Z15" s="189"/>
      <c r="AA15" s="303"/>
      <c r="AB15" s="189"/>
      <c r="AC15" s="303"/>
      <c r="AD15" s="304"/>
      <c r="AE15" s="303"/>
      <c r="AF15" s="304"/>
      <c r="AG15" s="303"/>
      <c r="AH15" s="304"/>
      <c r="AI15" s="303"/>
      <c r="AJ15" s="34"/>
      <c r="AL15" s="34"/>
      <c r="AM15" s="34"/>
      <c r="AN15" s="171"/>
    </row>
    <row r="16" spans="2:40" s="33" customFormat="1" ht="14" x14ac:dyDescent="0.2">
      <c r="B16" s="45" t="s">
        <v>101</v>
      </c>
      <c r="C16" s="45"/>
      <c r="D16" s="48"/>
      <c r="E16" s="41"/>
      <c r="F16" s="53"/>
      <c r="G16" s="41"/>
      <c r="H16" s="52"/>
      <c r="I16" s="41"/>
      <c r="J16" s="52"/>
      <c r="K16" s="41"/>
      <c r="L16" s="52"/>
      <c r="M16" s="39"/>
      <c r="N16" s="49"/>
      <c r="O16" s="41"/>
      <c r="P16" s="49"/>
      <c r="Q16" s="39"/>
      <c r="R16" s="305"/>
      <c r="S16" s="38"/>
      <c r="T16" s="37"/>
      <c r="U16" s="38"/>
      <c r="V16" s="37"/>
      <c r="W16" s="36"/>
      <c r="X16" s="35">
        <v>245088</v>
      </c>
      <c r="Y16" s="36">
        <v>245088</v>
      </c>
      <c r="Z16" s="34"/>
      <c r="AA16" s="303"/>
      <c r="AB16" s="189"/>
      <c r="AC16" s="303"/>
      <c r="AD16" s="304"/>
      <c r="AE16" s="303"/>
      <c r="AF16" s="304"/>
      <c r="AG16" s="303"/>
      <c r="AH16" s="304"/>
      <c r="AI16" s="303"/>
      <c r="AJ16" s="34"/>
      <c r="AL16" s="34"/>
      <c r="AM16" s="34"/>
      <c r="AN16" s="171"/>
    </row>
    <row r="17" spans="1:40" s="33" customFormat="1" ht="14" x14ac:dyDescent="0.2">
      <c r="B17" s="45" t="s">
        <v>100</v>
      </c>
      <c r="D17" s="48"/>
      <c r="E17" s="182"/>
      <c r="F17" s="183"/>
      <c r="G17" s="182"/>
      <c r="H17" s="181"/>
      <c r="I17" s="182"/>
      <c r="J17" s="181"/>
      <c r="K17" s="182"/>
      <c r="L17" s="181"/>
      <c r="M17" s="178"/>
      <c r="N17" s="179"/>
      <c r="O17" s="182"/>
      <c r="P17" s="179"/>
      <c r="Q17" s="178"/>
      <c r="R17" s="177"/>
      <c r="S17" s="176"/>
      <c r="T17" s="175"/>
      <c r="U17" s="176"/>
      <c r="V17" s="175"/>
      <c r="W17" s="248"/>
      <c r="X17" s="172"/>
      <c r="Y17" s="248"/>
      <c r="Z17" s="172">
        <v>237555</v>
      </c>
      <c r="AA17" s="173">
        <v>237984</v>
      </c>
      <c r="AB17" s="174"/>
      <c r="AC17" s="33">
        <v>230880</v>
      </c>
      <c r="AD17" s="34">
        <v>215784</v>
      </c>
      <c r="AE17" s="33">
        <v>215784</v>
      </c>
      <c r="AF17" s="34">
        <v>208382</v>
      </c>
      <c r="AG17" s="33">
        <v>209568</v>
      </c>
      <c r="AH17" s="34">
        <v>200688</v>
      </c>
      <c r="AI17" s="33">
        <v>200688</v>
      </c>
      <c r="AJ17" s="34">
        <v>194472</v>
      </c>
      <c r="AK17" s="33">
        <v>194472</v>
      </c>
      <c r="AL17" s="34">
        <v>189144</v>
      </c>
      <c r="AM17" s="34">
        <v>183936</v>
      </c>
      <c r="AN17" s="171"/>
    </row>
    <row r="18" spans="1:40" s="33" customFormat="1" ht="14" x14ac:dyDescent="0.2">
      <c r="A18" s="291"/>
      <c r="B18" s="45" t="s">
        <v>99</v>
      </c>
      <c r="C18" s="45"/>
      <c r="D18" s="48"/>
      <c r="E18" s="182"/>
      <c r="F18" s="183"/>
      <c r="G18" s="182"/>
      <c r="H18" s="181"/>
      <c r="I18" s="182"/>
      <c r="J18" s="181"/>
      <c r="K18" s="182"/>
      <c r="L18" s="181"/>
      <c r="M18" s="178"/>
      <c r="N18" s="179"/>
      <c r="O18" s="182"/>
      <c r="P18" s="179"/>
      <c r="Q18" s="178"/>
      <c r="R18" s="177"/>
      <c r="S18" s="176"/>
      <c r="T18" s="175"/>
      <c r="U18" s="176"/>
      <c r="V18" s="175"/>
      <c r="W18" s="248"/>
      <c r="X18" s="172"/>
      <c r="Y18" s="248"/>
      <c r="Z18" s="172"/>
      <c r="AA18" s="173"/>
      <c r="AB18" s="172">
        <v>230880</v>
      </c>
      <c r="AD18" s="34"/>
      <c r="AF18" s="34"/>
      <c r="AH18" s="34"/>
      <c r="AJ18" s="34"/>
      <c r="AL18" s="34"/>
      <c r="AM18" s="34"/>
      <c r="AN18" s="171"/>
    </row>
    <row r="19" spans="1:40" s="33" customFormat="1" x14ac:dyDescent="0.2">
      <c r="B19" s="302" t="s">
        <v>98</v>
      </c>
      <c r="C19" s="45">
        <f>353*12*5</f>
        <v>21180</v>
      </c>
      <c r="D19" s="48"/>
      <c r="E19" s="182"/>
      <c r="F19" s="183"/>
      <c r="G19" s="182"/>
      <c r="H19" s="181"/>
      <c r="I19" s="182"/>
      <c r="J19" s="181"/>
      <c r="K19" s="182"/>
      <c r="L19" s="181"/>
      <c r="M19" s="178"/>
      <c r="N19" s="179"/>
      <c r="O19" s="182"/>
      <c r="P19" s="179"/>
      <c r="Q19" s="178"/>
      <c r="R19" s="177"/>
      <c r="S19" s="176"/>
      <c r="T19" s="175"/>
      <c r="U19" s="176"/>
      <c r="V19" s="175"/>
      <c r="W19" s="248"/>
      <c r="X19" s="172"/>
      <c r="Y19" s="248"/>
      <c r="Z19" s="172"/>
      <c r="AA19" s="173"/>
      <c r="AB19" s="172"/>
      <c r="AD19" s="34"/>
      <c r="AF19" s="34"/>
      <c r="AH19" s="34"/>
      <c r="AJ19" s="34"/>
      <c r="AL19" s="34"/>
      <c r="AM19" s="34"/>
      <c r="AN19" s="171"/>
    </row>
    <row r="20" spans="1:40" s="33" customFormat="1" ht="14" x14ac:dyDescent="0.2">
      <c r="A20" s="290"/>
      <c r="B20" s="45" t="s">
        <v>97</v>
      </c>
      <c r="C20" s="289"/>
      <c r="D20" s="288"/>
      <c r="E20" s="286">
        <f>5*323*12</f>
        <v>19380</v>
      </c>
      <c r="F20" s="287"/>
      <c r="G20" s="182"/>
      <c r="H20" s="181"/>
      <c r="I20" s="182"/>
      <c r="J20" s="181"/>
      <c r="K20" s="182"/>
      <c r="L20" s="181"/>
      <c r="M20" s="178"/>
      <c r="N20" s="179"/>
      <c r="O20" s="182"/>
      <c r="P20" s="179"/>
      <c r="Q20" s="178"/>
      <c r="R20" s="177"/>
      <c r="S20" s="176"/>
      <c r="T20" s="175"/>
      <c r="U20" s="176"/>
      <c r="V20" s="175"/>
      <c r="W20" s="248"/>
      <c r="X20" s="172"/>
      <c r="Y20" s="248"/>
      <c r="Z20" s="172"/>
      <c r="AA20" s="173"/>
      <c r="AB20" s="172"/>
      <c r="AD20" s="34"/>
      <c r="AF20" s="34"/>
      <c r="AH20" s="34"/>
      <c r="AJ20" s="34"/>
      <c r="AL20" s="34"/>
      <c r="AM20" s="34"/>
      <c r="AN20" s="171"/>
    </row>
    <row r="21" spans="1:40" s="54" customFormat="1" ht="16.5" customHeight="1" x14ac:dyDescent="0.2">
      <c r="A21" s="184"/>
      <c r="B21" s="45" t="s">
        <v>96</v>
      </c>
      <c r="C21" s="289"/>
      <c r="D21" s="288"/>
      <c r="E21" s="286"/>
      <c r="F21" s="287"/>
      <c r="G21" s="286">
        <f>5*279*12+5*34*12</f>
        <v>18780</v>
      </c>
      <c r="H21" s="292"/>
      <c r="I21" s="286"/>
      <c r="J21" s="292"/>
      <c r="K21" s="286"/>
      <c r="L21" s="292"/>
      <c r="M21" s="300"/>
      <c r="N21" s="301"/>
      <c r="O21" s="286"/>
      <c r="P21" s="301"/>
      <c r="Q21" s="300"/>
      <c r="R21" s="299"/>
      <c r="S21" s="298"/>
      <c r="T21" s="297"/>
      <c r="U21" s="298"/>
      <c r="V21" s="297"/>
      <c r="W21" s="296"/>
      <c r="X21" s="294"/>
      <c r="Y21" s="296"/>
      <c r="Z21" s="294"/>
      <c r="AA21" s="295"/>
      <c r="AB21" s="294"/>
      <c r="AD21" s="55"/>
      <c r="AF21" s="55"/>
      <c r="AH21" s="55"/>
      <c r="AJ21" s="55"/>
      <c r="AL21" s="55"/>
      <c r="AM21" s="55"/>
      <c r="AN21" s="293"/>
    </row>
    <row r="22" spans="1:40" s="33" customFormat="1" ht="16.5" customHeight="1" x14ac:dyDescent="0.2">
      <c r="A22" s="184"/>
      <c r="B22" s="45" t="s">
        <v>95</v>
      </c>
      <c r="C22" s="45"/>
      <c r="D22" s="48"/>
      <c r="E22" s="286"/>
      <c r="F22" s="287"/>
      <c r="G22" s="286"/>
      <c r="H22" s="292"/>
      <c r="I22" s="286"/>
      <c r="J22" s="292"/>
      <c r="K22" s="286"/>
      <c r="L22" s="292"/>
      <c r="M22" s="178">
        <f>317*5*12</f>
        <v>19020</v>
      </c>
      <c r="N22" s="179"/>
      <c r="O22" s="182"/>
      <c r="P22" s="179"/>
      <c r="Q22" s="178"/>
      <c r="R22" s="177"/>
      <c r="S22" s="176"/>
      <c r="T22" s="175"/>
      <c r="U22" s="176"/>
      <c r="V22" s="175"/>
      <c r="W22" s="248"/>
      <c r="X22" s="172"/>
      <c r="Y22" s="248"/>
      <c r="Z22" s="172"/>
      <c r="AA22" s="173"/>
      <c r="AB22" s="172"/>
      <c r="AD22" s="34"/>
      <c r="AF22" s="34"/>
      <c r="AH22" s="34"/>
      <c r="AJ22" s="34"/>
      <c r="AL22" s="34"/>
      <c r="AM22" s="34"/>
      <c r="AN22" s="171"/>
    </row>
    <row r="23" spans="1:40" s="33" customFormat="1" ht="16.5" customHeight="1" x14ac:dyDescent="0.2">
      <c r="A23" s="184"/>
      <c r="B23" s="45" t="s">
        <v>94</v>
      </c>
      <c r="C23" s="45"/>
      <c r="D23" s="48"/>
      <c r="E23" s="286"/>
      <c r="F23" s="287"/>
      <c r="G23" s="286"/>
      <c r="H23" s="292"/>
      <c r="I23" s="182">
        <f>5*301*12</f>
        <v>18060</v>
      </c>
      <c r="J23" s="292"/>
      <c r="K23" s="286"/>
      <c r="L23" s="292"/>
      <c r="M23" s="178"/>
      <c r="N23" s="179"/>
      <c r="O23" s="182"/>
      <c r="P23" s="179"/>
      <c r="Q23" s="178"/>
      <c r="R23" s="177"/>
      <c r="S23" s="176"/>
      <c r="T23" s="175"/>
      <c r="U23" s="176"/>
      <c r="V23" s="175"/>
      <c r="W23" s="248"/>
      <c r="X23" s="172"/>
      <c r="Y23" s="248"/>
      <c r="Z23" s="172"/>
      <c r="AA23" s="173"/>
      <c r="AB23" s="172"/>
      <c r="AD23" s="34"/>
      <c r="AF23" s="34"/>
      <c r="AH23" s="34"/>
      <c r="AJ23" s="34"/>
      <c r="AL23" s="34"/>
      <c r="AM23" s="34"/>
      <c r="AN23" s="171"/>
    </row>
    <row r="24" spans="1:40" s="33" customFormat="1" ht="16.5" customHeight="1" x14ac:dyDescent="0.2">
      <c r="A24" s="184"/>
      <c r="B24" s="45" t="s">
        <v>93</v>
      </c>
      <c r="C24" s="45"/>
      <c r="D24" s="48"/>
      <c r="E24" s="286"/>
      <c r="F24" s="287"/>
      <c r="G24" s="286"/>
      <c r="H24" s="292"/>
      <c r="I24" s="286"/>
      <c r="J24" s="292"/>
      <c r="K24" s="182">
        <f>5*309*12</f>
        <v>18540</v>
      </c>
      <c r="L24" s="292"/>
      <c r="M24" s="178"/>
      <c r="N24" s="179"/>
      <c r="O24" s="182"/>
      <c r="P24" s="179"/>
      <c r="Q24" s="178"/>
      <c r="R24" s="177"/>
      <c r="S24" s="176"/>
      <c r="T24" s="175"/>
      <c r="U24" s="176"/>
      <c r="V24" s="175"/>
      <c r="W24" s="248"/>
      <c r="X24" s="172"/>
      <c r="Y24" s="248"/>
      <c r="Z24" s="172"/>
      <c r="AA24" s="173"/>
      <c r="AB24" s="172"/>
      <c r="AD24" s="34"/>
      <c r="AF24" s="34"/>
      <c r="AH24" s="34"/>
      <c r="AJ24" s="34"/>
      <c r="AL24" s="34"/>
      <c r="AM24" s="34"/>
      <c r="AN24" s="171"/>
    </row>
    <row r="25" spans="1:40" s="33" customFormat="1" ht="13.5" customHeight="1" x14ac:dyDescent="0.2">
      <c r="A25" s="184"/>
      <c r="B25" s="45" t="s">
        <v>92</v>
      </c>
      <c r="C25" s="45"/>
      <c r="D25" s="48"/>
      <c r="E25" s="182"/>
      <c r="F25" s="183"/>
      <c r="G25" s="182"/>
      <c r="H25" s="181"/>
      <c r="I25" s="182"/>
      <c r="J25" s="181"/>
      <c r="K25" s="182"/>
      <c r="L25" s="181"/>
      <c r="M25" s="178"/>
      <c r="N25" s="179"/>
      <c r="O25" s="182">
        <f>282*5*12</f>
        <v>16920</v>
      </c>
      <c r="P25" s="179" t="s">
        <v>0</v>
      </c>
      <c r="Q25" s="178"/>
      <c r="R25" s="177"/>
      <c r="S25" s="176"/>
      <c r="T25" s="175"/>
      <c r="U25" s="176"/>
      <c r="V25" s="175"/>
      <c r="W25" s="248"/>
      <c r="X25" s="172"/>
      <c r="Y25" s="248"/>
      <c r="Z25" s="172"/>
      <c r="AA25" s="173"/>
      <c r="AB25" s="172"/>
      <c r="AD25" s="34"/>
      <c r="AF25" s="34"/>
      <c r="AH25" s="34"/>
      <c r="AJ25" s="34"/>
      <c r="AL25" s="34"/>
      <c r="AM25" s="34"/>
      <c r="AN25" s="171"/>
    </row>
    <row r="26" spans="1:40" s="33" customFormat="1" ht="14" hidden="1" x14ac:dyDescent="0.2">
      <c r="A26" s="184"/>
      <c r="B26" s="45" t="s">
        <v>91</v>
      </c>
      <c r="C26" s="45"/>
      <c r="D26" s="48"/>
      <c r="E26" s="182"/>
      <c r="F26" s="183"/>
      <c r="G26" s="182"/>
      <c r="H26" s="181"/>
      <c r="I26" s="182"/>
      <c r="J26" s="181"/>
      <c r="K26" s="182"/>
      <c r="L26" s="181"/>
      <c r="M26" s="178"/>
      <c r="N26" s="179"/>
      <c r="O26" s="182"/>
      <c r="P26" s="179"/>
      <c r="Q26" s="178">
        <f>5*272*12</f>
        <v>16320</v>
      </c>
      <c r="R26" s="177"/>
      <c r="S26" s="176"/>
      <c r="T26" s="175"/>
      <c r="U26" s="176"/>
      <c r="V26" s="175"/>
      <c r="W26" s="248"/>
      <c r="X26" s="172"/>
      <c r="Y26" s="248"/>
      <c r="Z26" s="172"/>
      <c r="AA26" s="173"/>
      <c r="AB26" s="172"/>
      <c r="AD26" s="34"/>
      <c r="AF26" s="34"/>
      <c r="AH26" s="34"/>
      <c r="AJ26" s="34"/>
      <c r="AL26" s="34"/>
      <c r="AM26" s="34"/>
      <c r="AN26" s="171"/>
    </row>
    <row r="27" spans="1:40" s="33" customFormat="1" ht="14" hidden="1" x14ac:dyDescent="0.2">
      <c r="A27" s="184"/>
      <c r="B27" s="45" t="s">
        <v>90</v>
      </c>
      <c r="C27" s="45"/>
      <c r="D27" s="48"/>
      <c r="E27" s="182"/>
      <c r="F27" s="183"/>
      <c r="G27" s="182"/>
      <c r="H27" s="181"/>
      <c r="I27" s="182"/>
      <c r="J27" s="181"/>
      <c r="K27" s="182"/>
      <c r="L27" s="181"/>
      <c r="M27" s="178"/>
      <c r="N27" s="179"/>
      <c r="O27" s="182"/>
      <c r="P27" s="179"/>
      <c r="Q27" s="178"/>
      <c r="R27" s="177">
        <v>15780</v>
      </c>
      <c r="S27" s="176">
        <v>15780</v>
      </c>
      <c r="T27" s="172"/>
      <c r="U27" s="176"/>
      <c r="V27" s="175"/>
      <c r="W27" s="248"/>
      <c r="X27" s="172"/>
      <c r="Y27" s="248"/>
      <c r="Z27" s="172"/>
      <c r="AA27" s="173"/>
      <c r="AB27" s="172"/>
      <c r="AD27" s="34"/>
      <c r="AF27" s="34"/>
      <c r="AH27" s="34"/>
      <c r="AJ27" s="34"/>
      <c r="AL27" s="34"/>
      <c r="AM27" s="34"/>
      <c r="AN27" s="171"/>
    </row>
    <row r="28" spans="1:40" s="33" customFormat="1" ht="14" hidden="1" x14ac:dyDescent="0.2">
      <c r="A28" s="184"/>
      <c r="B28" s="45" t="s">
        <v>89</v>
      </c>
      <c r="C28" s="45"/>
      <c r="D28" s="48"/>
      <c r="E28" s="182"/>
      <c r="F28" s="183"/>
      <c r="G28" s="182"/>
      <c r="H28" s="181"/>
      <c r="I28" s="182"/>
      <c r="J28" s="181"/>
      <c r="K28" s="182"/>
      <c r="L28" s="181"/>
      <c r="M28" s="178"/>
      <c r="N28" s="179"/>
      <c r="O28" s="182"/>
      <c r="P28" s="179"/>
      <c r="Q28" s="178"/>
      <c r="R28" s="177"/>
      <c r="S28" s="176"/>
      <c r="T28" s="175">
        <v>15780</v>
      </c>
      <c r="U28" s="176">
        <v>15120</v>
      </c>
      <c r="V28" s="175"/>
      <c r="W28" s="248"/>
      <c r="X28" s="172"/>
      <c r="Y28" s="248"/>
      <c r="Z28" s="172"/>
      <c r="AA28" s="173"/>
      <c r="AB28" s="172"/>
      <c r="AD28" s="34"/>
      <c r="AF28" s="34"/>
      <c r="AH28" s="34"/>
      <c r="AJ28" s="34"/>
      <c r="AL28" s="34"/>
      <c r="AM28" s="34"/>
      <c r="AN28" s="171"/>
    </row>
    <row r="29" spans="1:40" s="33" customFormat="1" ht="14" hidden="1" x14ac:dyDescent="0.2">
      <c r="B29" s="45" t="s">
        <v>88</v>
      </c>
      <c r="C29" s="45"/>
      <c r="D29" s="48"/>
      <c r="E29" s="182"/>
      <c r="F29" s="183"/>
      <c r="G29" s="182"/>
      <c r="H29" s="181"/>
      <c r="I29" s="182"/>
      <c r="J29" s="181"/>
      <c r="K29" s="182"/>
      <c r="L29" s="181"/>
      <c r="M29" s="178"/>
      <c r="N29" s="179"/>
      <c r="O29" s="182"/>
      <c r="P29" s="179"/>
      <c r="Q29" s="178"/>
      <c r="R29" s="177"/>
      <c r="S29" s="176" t="s">
        <v>0</v>
      </c>
      <c r="T29" s="175"/>
      <c r="U29" s="176" t="s">
        <v>0</v>
      </c>
      <c r="V29" s="175">
        <v>14700</v>
      </c>
      <c r="W29" s="248">
        <v>14700</v>
      </c>
      <c r="X29" s="172">
        <v>14100</v>
      </c>
      <c r="Y29" s="248">
        <v>14100</v>
      </c>
      <c r="Z29" s="172">
        <v>14100</v>
      </c>
      <c r="AA29" s="173">
        <v>13680</v>
      </c>
      <c r="AB29" s="172"/>
      <c r="AD29" s="34"/>
      <c r="AF29" s="34"/>
      <c r="AH29" s="34"/>
      <c r="AJ29" s="34"/>
      <c r="AL29" s="34"/>
      <c r="AM29" s="34"/>
      <c r="AN29" s="171"/>
    </row>
    <row r="30" spans="1:40" s="33" customFormat="1" ht="14" x14ac:dyDescent="0.2">
      <c r="B30" s="289" t="s">
        <v>87</v>
      </c>
      <c r="C30" s="289"/>
      <c r="D30" s="288"/>
      <c r="E30" s="182"/>
      <c r="F30" s="183">
        <v>331292</v>
      </c>
      <c r="G30" s="182"/>
      <c r="H30" s="63">
        <v>351954</v>
      </c>
      <c r="I30" s="182"/>
      <c r="J30" s="181">
        <v>327088</v>
      </c>
      <c r="K30" s="182"/>
      <c r="L30" s="181">
        <v>330902</v>
      </c>
      <c r="M30" s="178"/>
      <c r="N30" s="179">
        <v>305702</v>
      </c>
      <c r="O30" s="182"/>
      <c r="P30" s="179">
        <v>293263</v>
      </c>
      <c r="Q30" s="178"/>
      <c r="R30" s="177"/>
      <c r="S30" s="176"/>
      <c r="T30" s="175"/>
      <c r="U30" s="176"/>
      <c r="V30" s="175"/>
      <c r="W30" s="248"/>
      <c r="X30" s="172"/>
      <c r="Y30" s="248"/>
      <c r="Z30" s="172"/>
      <c r="AA30" s="173"/>
      <c r="AB30" s="172"/>
      <c r="AD30" s="34"/>
      <c r="AF30" s="34"/>
      <c r="AH30" s="34"/>
      <c r="AJ30" s="34"/>
      <c r="AL30" s="34"/>
      <c r="AM30" s="34"/>
      <c r="AN30" s="171"/>
    </row>
    <row r="31" spans="1:40" s="33" customFormat="1" ht="14" x14ac:dyDescent="0.2">
      <c r="B31" s="45" t="s">
        <v>86</v>
      </c>
      <c r="C31" s="45"/>
      <c r="D31" s="48"/>
      <c r="E31" s="182"/>
      <c r="F31" s="183"/>
      <c r="G31" s="182"/>
      <c r="H31" s="34"/>
      <c r="I31" s="182"/>
      <c r="J31" s="181">
        <v>26585</v>
      </c>
      <c r="K31" s="182">
        <v>26544</v>
      </c>
      <c r="L31" s="181">
        <v>27000</v>
      </c>
      <c r="M31" s="178">
        <f>79*28*12</f>
        <v>26544</v>
      </c>
      <c r="N31" s="179">
        <v>26584</v>
      </c>
      <c r="O31" s="182">
        <f>28*79*12</f>
        <v>26544</v>
      </c>
      <c r="P31" s="179">
        <v>26513</v>
      </c>
      <c r="Q31" s="178">
        <v>26544</v>
      </c>
      <c r="R31" s="177">
        <v>26544</v>
      </c>
      <c r="S31" s="176">
        <v>26544</v>
      </c>
      <c r="T31" s="175">
        <v>26544</v>
      </c>
      <c r="U31" s="176">
        <v>26544</v>
      </c>
      <c r="V31" s="175">
        <v>26544</v>
      </c>
      <c r="W31" s="248">
        <v>26544</v>
      </c>
      <c r="X31" s="172">
        <v>26544</v>
      </c>
      <c r="Y31" s="248">
        <v>26544</v>
      </c>
      <c r="Z31" s="172">
        <v>26544</v>
      </c>
      <c r="AA31" s="173">
        <v>26544</v>
      </c>
      <c r="AB31" s="172">
        <v>26544</v>
      </c>
      <c r="AC31" s="33">
        <v>26544</v>
      </c>
      <c r="AD31" s="34">
        <v>26544</v>
      </c>
      <c r="AE31" s="33">
        <v>26544</v>
      </c>
      <c r="AF31" s="34">
        <v>26376</v>
      </c>
      <c r="AG31" s="33">
        <v>26544</v>
      </c>
      <c r="AH31" s="34">
        <v>26544</v>
      </c>
      <c r="AI31" s="33">
        <v>26544</v>
      </c>
      <c r="AJ31" s="34">
        <v>26544</v>
      </c>
      <c r="AK31" s="33">
        <v>26544</v>
      </c>
      <c r="AL31" s="34">
        <v>26544</v>
      </c>
      <c r="AM31" s="34">
        <v>23700</v>
      </c>
      <c r="AN31" s="171"/>
    </row>
    <row r="32" spans="1:40" s="33" customFormat="1" ht="14" x14ac:dyDescent="0.2">
      <c r="B32" s="45" t="s">
        <v>85</v>
      </c>
      <c r="C32" s="45"/>
      <c r="D32" s="48"/>
      <c r="E32" s="182"/>
      <c r="F32" s="183"/>
      <c r="G32" s="182"/>
      <c r="H32" s="181"/>
      <c r="I32" s="182">
        <f>79*32*12</f>
        <v>30336</v>
      </c>
      <c r="J32" s="181"/>
      <c r="K32" s="182"/>
      <c r="L32" s="181"/>
      <c r="M32" s="178"/>
      <c r="N32" s="179"/>
      <c r="O32" s="182"/>
      <c r="P32" s="179"/>
      <c r="Q32" s="178"/>
      <c r="R32" s="177"/>
      <c r="S32" s="176"/>
      <c r="T32" s="175"/>
      <c r="U32" s="176"/>
      <c r="V32" s="175"/>
      <c r="W32" s="248"/>
      <c r="X32" s="172"/>
      <c r="Y32" s="248"/>
      <c r="Z32" s="172"/>
      <c r="AA32" s="173"/>
      <c r="AB32" s="172"/>
      <c r="AD32" s="34"/>
      <c r="AF32" s="34"/>
      <c r="AH32" s="34"/>
      <c r="AJ32" s="34"/>
      <c r="AL32" s="34"/>
      <c r="AM32" s="34"/>
      <c r="AN32" s="171"/>
    </row>
    <row r="33" spans="1:40" s="33" customFormat="1" ht="14" x14ac:dyDescent="0.2">
      <c r="B33" s="289" t="s">
        <v>84</v>
      </c>
      <c r="C33" s="289"/>
      <c r="D33" s="288"/>
      <c r="E33" s="286"/>
      <c r="F33" s="287"/>
      <c r="G33" s="286"/>
      <c r="H33" s="181"/>
      <c r="I33" s="182"/>
      <c r="J33" s="181"/>
      <c r="K33" s="182"/>
      <c r="L33" s="181"/>
      <c r="M33" s="178"/>
      <c r="N33" s="179"/>
      <c r="O33" s="182"/>
      <c r="P33" s="179"/>
      <c r="Q33" s="178"/>
      <c r="R33" s="177"/>
      <c r="S33" s="176"/>
      <c r="T33" s="175"/>
      <c r="U33" s="176"/>
      <c r="V33" s="175"/>
      <c r="W33" s="248"/>
      <c r="X33" s="172"/>
      <c r="Y33" s="248"/>
      <c r="Z33" s="172"/>
      <c r="AA33" s="173"/>
      <c r="AB33" s="172"/>
      <c r="AD33" s="34"/>
      <c r="AF33" s="34"/>
      <c r="AH33" s="34"/>
      <c r="AJ33" s="34"/>
      <c r="AL33" s="34"/>
      <c r="AM33" s="34"/>
      <c r="AN33" s="171"/>
    </row>
    <row r="34" spans="1:40" s="33" customFormat="1" ht="14" x14ac:dyDescent="0.2">
      <c r="B34" s="289" t="s">
        <v>83</v>
      </c>
      <c r="C34" s="289"/>
      <c r="D34" s="288"/>
      <c r="E34" s="286"/>
      <c r="F34" s="287"/>
      <c r="G34" s="286"/>
      <c r="H34" s="181"/>
      <c r="I34" s="182"/>
      <c r="J34" s="181"/>
      <c r="K34" s="182"/>
      <c r="L34" s="181"/>
      <c r="M34" s="178"/>
      <c r="N34" s="179"/>
      <c r="O34" s="182"/>
      <c r="P34" s="179"/>
      <c r="Q34" s="178"/>
      <c r="R34" s="177"/>
      <c r="S34" s="176" t="s">
        <v>0</v>
      </c>
      <c r="T34" s="175">
        <v>74</v>
      </c>
      <c r="U34" s="176" t="s">
        <v>0</v>
      </c>
      <c r="V34" s="175">
        <v>91</v>
      </c>
      <c r="W34" s="248">
        <v>100</v>
      </c>
      <c r="X34" s="172">
        <v>8</v>
      </c>
      <c r="Y34" s="248">
        <v>1000</v>
      </c>
      <c r="Z34" s="172">
        <v>55</v>
      </c>
      <c r="AA34" s="173">
        <v>1000</v>
      </c>
      <c r="AB34" s="172">
        <v>70</v>
      </c>
      <c r="AC34" s="33">
        <v>700</v>
      </c>
      <c r="AD34" s="34">
        <v>598.74</v>
      </c>
      <c r="AE34" s="33">
        <v>1500</v>
      </c>
      <c r="AF34" s="34">
        <v>578</v>
      </c>
      <c r="AG34" s="33">
        <v>4500</v>
      </c>
      <c r="AH34" s="34">
        <v>1634.25</v>
      </c>
      <c r="AI34" s="33">
        <v>4000</v>
      </c>
      <c r="AJ34" s="34">
        <v>5301</v>
      </c>
      <c r="AK34" s="33">
        <v>400</v>
      </c>
      <c r="AL34" s="34">
        <v>3650.48</v>
      </c>
      <c r="AM34" s="34">
        <v>1882</v>
      </c>
      <c r="AN34" s="171"/>
    </row>
    <row r="35" spans="1:40" s="33" customFormat="1" ht="14" x14ac:dyDescent="0.2">
      <c r="A35" s="291"/>
      <c r="B35" s="289" t="s">
        <v>82</v>
      </c>
      <c r="C35" s="289"/>
      <c r="D35" s="288"/>
      <c r="E35" s="286">
        <v>17500</v>
      </c>
      <c r="F35" s="287">
        <v>17200</v>
      </c>
      <c r="G35" s="286">
        <v>17500</v>
      </c>
      <c r="H35" s="181">
        <v>19025</v>
      </c>
      <c r="I35" s="182">
        <v>17500</v>
      </c>
      <c r="J35" s="181">
        <v>18350</v>
      </c>
      <c r="K35" s="182">
        <v>17500</v>
      </c>
      <c r="L35" s="181">
        <v>18625</v>
      </c>
      <c r="M35" s="178">
        <f>50*350</f>
        <v>17500</v>
      </c>
      <c r="N35" s="179">
        <v>18150</v>
      </c>
      <c r="O35" s="182">
        <f>50*350</f>
        <v>17500</v>
      </c>
      <c r="P35" s="179">
        <v>17910</v>
      </c>
      <c r="Q35" s="178">
        <v>18000</v>
      </c>
      <c r="R35" s="177">
        <v>16179.5</v>
      </c>
      <c r="S35" s="176">
        <v>19000</v>
      </c>
      <c r="T35" s="175">
        <v>16710</v>
      </c>
      <c r="U35" s="176">
        <v>19000</v>
      </c>
      <c r="V35" s="175">
        <v>17828</v>
      </c>
      <c r="W35" s="248">
        <v>19000</v>
      </c>
      <c r="X35" s="172">
        <v>18410</v>
      </c>
      <c r="Y35" s="248">
        <v>19000</v>
      </c>
      <c r="Z35" s="172">
        <v>19050</v>
      </c>
      <c r="AA35" s="173">
        <v>19000</v>
      </c>
      <c r="AB35" s="172">
        <v>18800</v>
      </c>
      <c r="AC35" s="33">
        <v>18000</v>
      </c>
      <c r="AD35" s="34">
        <v>18990</v>
      </c>
      <c r="AE35" s="33">
        <v>18000</v>
      </c>
      <c r="AF35" s="34">
        <v>19350</v>
      </c>
      <c r="AG35" s="33">
        <v>18000</v>
      </c>
      <c r="AH35" s="34">
        <v>19250</v>
      </c>
      <c r="AI35" s="33">
        <v>19000</v>
      </c>
      <c r="AJ35" s="34">
        <v>18105</v>
      </c>
      <c r="AK35" s="33">
        <v>18000</v>
      </c>
      <c r="AL35" s="34">
        <v>20380</v>
      </c>
      <c r="AM35" s="34">
        <v>16100</v>
      </c>
      <c r="AN35" s="171"/>
    </row>
    <row r="36" spans="1:40" s="33" customFormat="1" ht="16.5" customHeight="1" x14ac:dyDescent="0.2">
      <c r="A36" s="290"/>
      <c r="B36" s="289" t="s">
        <v>81</v>
      </c>
      <c r="C36" s="289">
        <v>2000</v>
      </c>
      <c r="D36" s="288"/>
      <c r="E36" s="286">
        <v>2000</v>
      </c>
      <c r="F36" s="287">
        <v>2000</v>
      </c>
      <c r="G36" s="286">
        <v>2000</v>
      </c>
      <c r="H36" s="181">
        <v>2000</v>
      </c>
      <c r="I36" s="182">
        <v>2000</v>
      </c>
      <c r="J36" s="181"/>
      <c r="K36" s="182">
        <v>2000</v>
      </c>
      <c r="L36" s="181">
        <v>2000</v>
      </c>
      <c r="M36" s="178">
        <v>2000</v>
      </c>
      <c r="N36" s="179">
        <v>2000</v>
      </c>
      <c r="O36" s="182">
        <v>2000</v>
      </c>
      <c r="P36" s="179">
        <v>2000</v>
      </c>
      <c r="Q36" s="178"/>
      <c r="R36" s="177">
        <v>2000</v>
      </c>
      <c r="S36" s="176">
        <v>2000</v>
      </c>
      <c r="T36" s="175">
        <v>4000</v>
      </c>
      <c r="U36" s="176">
        <v>2000</v>
      </c>
      <c r="V36" s="175"/>
      <c r="W36" s="248">
        <v>2500</v>
      </c>
      <c r="X36" s="172">
        <v>2000</v>
      </c>
      <c r="Y36" s="248">
        <v>2500</v>
      </c>
      <c r="Z36" s="172">
        <v>5138</v>
      </c>
      <c r="AA36" s="173">
        <v>2500</v>
      </c>
      <c r="AB36" s="172"/>
      <c r="AC36" s="33">
        <v>2500</v>
      </c>
      <c r="AD36" s="34">
        <v>2556</v>
      </c>
      <c r="AE36" s="33">
        <v>2600</v>
      </c>
      <c r="AF36" s="34">
        <v>2500</v>
      </c>
      <c r="AG36" s="33">
        <v>2600</v>
      </c>
      <c r="AH36" s="34">
        <v>5186.25</v>
      </c>
      <c r="AI36" s="33">
        <v>2600</v>
      </c>
      <c r="AJ36" s="34">
        <v>2565</v>
      </c>
      <c r="AK36" s="33">
        <v>2600</v>
      </c>
      <c r="AL36" s="34">
        <v>2587.75</v>
      </c>
      <c r="AM36" s="34">
        <v>0</v>
      </c>
      <c r="AN36" s="171"/>
    </row>
    <row r="37" spans="1:40" s="156" customFormat="1" ht="29.25" customHeight="1" thickBot="1" x14ac:dyDescent="0.25">
      <c r="B37" s="285" t="s">
        <v>80</v>
      </c>
      <c r="C37" s="285">
        <v>1000</v>
      </c>
      <c r="D37" s="284"/>
      <c r="E37" s="282">
        <v>1000</v>
      </c>
      <c r="F37" s="283">
        <v>496</v>
      </c>
      <c r="G37" s="282">
        <v>1000</v>
      </c>
      <c r="H37" s="230">
        <f>200+3134</f>
        <v>3334</v>
      </c>
      <c r="I37" s="231">
        <v>1000</v>
      </c>
      <c r="J37" s="230">
        <v>6818</v>
      </c>
      <c r="K37" s="231">
        <v>1000</v>
      </c>
      <c r="L37" s="230">
        <v>2802</v>
      </c>
      <c r="M37" s="245">
        <v>1000</v>
      </c>
      <c r="N37" s="243">
        <v>4584</v>
      </c>
      <c r="O37" s="229">
        <v>1000</v>
      </c>
      <c r="P37" s="243">
        <v>4339</v>
      </c>
      <c r="Q37" s="227">
        <v>1500</v>
      </c>
      <c r="R37" s="226">
        <v>1175</v>
      </c>
      <c r="S37" s="225">
        <v>1000</v>
      </c>
      <c r="T37" s="224">
        <v>1850</v>
      </c>
      <c r="U37" s="225">
        <v>1000</v>
      </c>
      <c r="V37" s="224">
        <v>7323</v>
      </c>
      <c r="W37" s="242">
        <v>1000</v>
      </c>
      <c r="X37" s="223">
        <v>4810</v>
      </c>
      <c r="Y37" s="242">
        <v>1000</v>
      </c>
      <c r="Z37" s="223">
        <v>675</v>
      </c>
      <c r="AA37" s="220">
        <v>1000</v>
      </c>
      <c r="AB37" s="223">
        <v>1817</v>
      </c>
      <c r="AC37" s="156">
        <v>1000</v>
      </c>
      <c r="AD37" s="158">
        <v>550</v>
      </c>
      <c r="AE37" s="156">
        <v>1000</v>
      </c>
      <c r="AF37" s="158">
        <v>3196</v>
      </c>
      <c r="AG37" s="156">
        <v>1000</v>
      </c>
      <c r="AH37" s="158">
        <v>2034.5</v>
      </c>
      <c r="AJ37" s="158">
        <v>1915</v>
      </c>
      <c r="AL37" s="158">
        <v>11890.75</v>
      </c>
      <c r="AM37" s="158">
        <v>1853</v>
      </c>
      <c r="AN37" s="157"/>
    </row>
    <row r="38" spans="1:40" s="116" customFormat="1" ht="24.75" customHeight="1" thickTop="1" thickBot="1" x14ac:dyDescent="0.25">
      <c r="B38" s="281" t="s">
        <v>26</v>
      </c>
      <c r="C38" s="281">
        <f>SUM(C4:C37)</f>
        <v>373164</v>
      </c>
      <c r="D38" s="280"/>
      <c r="E38" s="278">
        <f>SUM(E6,E20,E33,E35,E36)</f>
        <v>361224</v>
      </c>
      <c r="F38" s="279">
        <f>SUM(F30:F37)</f>
        <v>350988</v>
      </c>
      <c r="G38" s="278">
        <f>SUM(G7,G21,G33,G35,G36)</f>
        <v>351744</v>
      </c>
      <c r="H38" s="278">
        <f>SUM(H30,H21,H33,H35,H36)</f>
        <v>372979</v>
      </c>
      <c r="I38" s="278">
        <f>SUM(I10:I37)</f>
        <v>371704</v>
      </c>
      <c r="J38" s="277">
        <f>SUM(J30:J37)</f>
        <v>378841</v>
      </c>
      <c r="K38" s="278">
        <f>SUM(K9:K37)</f>
        <v>375496</v>
      </c>
      <c r="L38" s="277">
        <f>SUM(L30:L37)</f>
        <v>381329</v>
      </c>
      <c r="M38" s="136">
        <f>SUM(M8:M37)</f>
        <v>383080</v>
      </c>
      <c r="N38" s="135">
        <f>SUM(N30:N37)</f>
        <v>357020</v>
      </c>
      <c r="O38" s="125">
        <f>SUM(O11:O37)</f>
        <v>349900</v>
      </c>
      <c r="P38" s="276">
        <f>SUM(P7:P37)</f>
        <v>344025</v>
      </c>
      <c r="Q38" s="275">
        <f>SUM(Q12:Q37)</f>
        <v>339420</v>
      </c>
      <c r="R38" s="241">
        <f>SUM(R13:R37)</f>
        <v>330742.5</v>
      </c>
      <c r="S38" s="116">
        <f>SUM(S13:S37)</f>
        <v>333388</v>
      </c>
      <c r="T38" s="115">
        <f>SUM(T12:T37)</f>
        <v>325370</v>
      </c>
      <c r="U38" s="116">
        <f>SUM(U14:U37)</f>
        <v>324736</v>
      </c>
      <c r="V38" s="115">
        <f>SUM(V15:V37)</f>
        <v>319566</v>
      </c>
      <c r="W38" s="116">
        <f>SUM(W15:W37)</f>
        <v>316924</v>
      </c>
      <c r="X38" s="115">
        <f>SUM(X15:X37)</f>
        <v>310960</v>
      </c>
      <c r="Y38" s="116">
        <f>SUM(Y16:Y37)</f>
        <v>309232</v>
      </c>
      <c r="Z38" s="115">
        <f>SUM(Z17:Z37)</f>
        <v>303117</v>
      </c>
      <c r="AA38" s="116">
        <f>SUM(AA17:AA37)</f>
        <v>301708</v>
      </c>
      <c r="AB38" s="115">
        <f>SUM(AB18:AB37)</f>
        <v>278111</v>
      </c>
      <c r="AC38" s="116">
        <f>SUM(AC17:AC37)</f>
        <v>279624</v>
      </c>
      <c r="AD38" s="115">
        <f>SUM(AD17:AD37)</f>
        <v>265022.74</v>
      </c>
      <c r="AE38" s="116">
        <f>SUM(AE17:AE37)</f>
        <v>265428</v>
      </c>
      <c r="AF38" s="115">
        <f>SUM(AF17:AF37)</f>
        <v>260382</v>
      </c>
      <c r="AG38" s="116">
        <f>SUM(AG17:AG37)</f>
        <v>262212</v>
      </c>
      <c r="AH38" s="115">
        <f>SUM(AH17:AH37)</f>
        <v>255337</v>
      </c>
      <c r="AI38" s="116">
        <f>SUM(AI17:AI37)</f>
        <v>252832</v>
      </c>
      <c r="AJ38" s="115">
        <f>SUM(AJ17:AJ37)</f>
        <v>248902</v>
      </c>
      <c r="AK38" s="116">
        <f>SUM(AK17:AK37)</f>
        <v>242016</v>
      </c>
      <c r="AL38" s="115">
        <f>SUM(AL17:AL37)</f>
        <v>254196.98</v>
      </c>
      <c r="AM38" s="115">
        <f>SUM(AM17:AM37)</f>
        <v>227471</v>
      </c>
      <c r="AN38" s="134"/>
    </row>
    <row r="39" spans="1:40" s="69" customFormat="1" ht="14" thickTop="1" x14ac:dyDescent="0.2">
      <c r="B39" s="82"/>
      <c r="C39" s="82"/>
      <c r="D39" s="208"/>
      <c r="E39" s="75"/>
      <c r="F39" s="207"/>
      <c r="G39" s="75"/>
      <c r="H39" s="206"/>
      <c r="I39" s="75"/>
      <c r="J39" s="206"/>
      <c r="K39" s="75"/>
      <c r="L39" s="206"/>
      <c r="M39" s="77"/>
      <c r="N39" s="76"/>
      <c r="O39" s="251"/>
      <c r="P39" s="250"/>
      <c r="Q39" s="73"/>
      <c r="R39" s="71"/>
      <c r="S39" s="72"/>
      <c r="T39" s="71"/>
      <c r="U39" s="72"/>
      <c r="V39" s="71"/>
      <c r="X39" s="70"/>
      <c r="Z39" s="70"/>
      <c r="AB39" s="70"/>
      <c r="AD39" s="70"/>
      <c r="AF39" s="70"/>
      <c r="AH39" s="70"/>
      <c r="AJ39" s="70"/>
      <c r="AL39" s="70"/>
      <c r="AM39" s="70"/>
      <c r="AN39" s="274"/>
    </row>
    <row r="40" spans="1:40" s="184" customFormat="1" ht="17" x14ac:dyDescent="0.2">
      <c r="B40" s="273" t="s">
        <v>79</v>
      </c>
      <c r="C40" s="273"/>
      <c r="D40" s="272"/>
      <c r="E40" s="270"/>
      <c r="F40" s="271"/>
      <c r="G40" s="270"/>
      <c r="H40" s="269"/>
      <c r="I40" s="270"/>
      <c r="J40" s="269"/>
      <c r="K40" s="270"/>
      <c r="L40" s="269"/>
      <c r="M40" s="193"/>
      <c r="N40" s="194"/>
      <c r="O40" s="195"/>
      <c r="P40" s="194"/>
      <c r="Q40" s="193"/>
      <c r="R40" s="191"/>
      <c r="S40" s="192"/>
      <c r="T40" s="191"/>
      <c r="U40" s="192"/>
      <c r="V40" s="191"/>
      <c r="W40" s="190"/>
      <c r="X40" s="189" t="s">
        <v>0</v>
      </c>
      <c r="Y40" s="190" t="s">
        <v>0</v>
      </c>
      <c r="Z40" s="189"/>
      <c r="AA40" s="187" t="s">
        <v>0</v>
      </c>
      <c r="AB40" s="189"/>
      <c r="AC40" s="187"/>
      <c r="AD40" s="188" t="s">
        <v>0</v>
      </c>
      <c r="AE40" s="187" t="s">
        <v>0</v>
      </c>
      <c r="AF40" s="188" t="s">
        <v>0</v>
      </c>
      <c r="AG40" s="187"/>
      <c r="AH40" s="188"/>
      <c r="AI40" s="187"/>
      <c r="AJ40" s="34"/>
      <c r="AK40" s="33"/>
      <c r="AL40" s="34"/>
      <c r="AM40" s="34"/>
      <c r="AN40" s="185"/>
    </row>
    <row r="41" spans="1:40" s="184" customFormat="1" x14ac:dyDescent="0.2">
      <c r="B41" s="268"/>
      <c r="C41" s="268"/>
      <c r="D41" s="267"/>
      <c r="E41" s="261"/>
      <c r="F41" s="266"/>
      <c r="G41" s="261"/>
      <c r="H41" s="265"/>
      <c r="I41" s="261"/>
      <c r="J41" s="265"/>
      <c r="K41" s="261"/>
      <c r="L41" s="265"/>
      <c r="M41" s="259"/>
      <c r="N41" s="260"/>
      <c r="O41" s="261"/>
      <c r="P41" s="260"/>
      <c r="Q41" s="259"/>
      <c r="R41" s="257"/>
      <c r="S41" s="258"/>
      <c r="T41" s="257"/>
      <c r="U41" s="258"/>
      <c r="V41" s="257"/>
      <c r="W41" s="256"/>
      <c r="X41" s="254"/>
      <c r="Y41" s="256"/>
      <c r="Z41" s="254"/>
      <c r="AA41" s="255"/>
      <c r="AB41" s="254"/>
      <c r="AC41" s="187"/>
      <c r="AD41" s="188"/>
      <c r="AE41" s="187"/>
      <c r="AF41" s="188"/>
      <c r="AG41" s="187"/>
      <c r="AH41" s="188"/>
      <c r="AI41" s="187"/>
      <c r="AJ41" s="34"/>
      <c r="AK41" s="33"/>
      <c r="AL41" s="34"/>
      <c r="AM41" s="34"/>
      <c r="AN41" s="185"/>
    </row>
    <row r="42" spans="1:40" s="184" customFormat="1" ht="14" x14ac:dyDescent="0.2">
      <c r="B42" s="197" t="s">
        <v>78</v>
      </c>
      <c r="C42" s="197"/>
      <c r="D42" s="196"/>
      <c r="E42" s="253"/>
      <c r="F42" s="264"/>
      <c r="G42" s="253"/>
      <c r="H42" s="262"/>
      <c r="I42" s="253"/>
      <c r="J42" s="262"/>
      <c r="K42" s="263"/>
      <c r="L42" s="262"/>
      <c r="M42" s="259"/>
      <c r="N42" s="260"/>
      <c r="O42" s="261"/>
      <c r="P42" s="260"/>
      <c r="Q42" s="259"/>
      <c r="R42" s="257"/>
      <c r="S42" s="258"/>
      <c r="T42" s="257"/>
      <c r="U42" s="258"/>
      <c r="V42" s="257"/>
      <c r="W42" s="256"/>
      <c r="X42" s="254"/>
      <c r="Y42" s="256"/>
      <c r="Z42" s="254"/>
      <c r="AA42" s="255"/>
      <c r="AB42" s="254"/>
      <c r="AC42" s="187"/>
      <c r="AD42" s="188"/>
      <c r="AE42" s="187"/>
      <c r="AF42" s="188"/>
      <c r="AG42" s="187"/>
      <c r="AH42" s="188"/>
      <c r="AI42" s="187"/>
      <c r="AJ42" s="34"/>
      <c r="AK42" s="33"/>
      <c r="AL42" s="34"/>
      <c r="AM42" s="34"/>
      <c r="AN42" s="185"/>
    </row>
    <row r="43" spans="1:40" s="33" customFormat="1" ht="14" x14ac:dyDescent="0.2">
      <c r="B43" s="45" t="s">
        <v>77</v>
      </c>
      <c r="C43" s="45">
        <f>88400*1.05*1.05</f>
        <v>97461</v>
      </c>
      <c r="D43" s="48">
        <f>87400*1.05</f>
        <v>91770</v>
      </c>
      <c r="E43" s="182">
        <v>90000</v>
      </c>
      <c r="F43" s="183">
        <v>88413</v>
      </c>
      <c r="G43" s="182">
        <v>97338</v>
      </c>
      <c r="H43" s="181">
        <f>45777.68+43627</f>
        <v>89404.68</v>
      </c>
      <c r="I43" s="182">
        <v>103000</v>
      </c>
      <c r="J43" s="181">
        <v>92703</v>
      </c>
      <c r="K43" s="253">
        <v>92000</v>
      </c>
      <c r="L43" s="181">
        <v>96344</v>
      </c>
      <c r="M43" s="178">
        <v>98000</v>
      </c>
      <c r="N43" s="179">
        <v>84144</v>
      </c>
      <c r="O43" s="180">
        <v>101096</v>
      </c>
      <c r="P43" s="179">
        <v>97051</v>
      </c>
      <c r="Q43" s="178">
        <v>109312</v>
      </c>
      <c r="R43" s="177">
        <v>97906</v>
      </c>
      <c r="S43" s="176">
        <v>106128</v>
      </c>
      <c r="T43" s="175">
        <v>91828</v>
      </c>
      <c r="U43" s="176">
        <f>W43*1.03</f>
        <v>104545</v>
      </c>
      <c r="V43" s="175">
        <v>100036</v>
      </c>
      <c r="W43" s="248">
        <v>101500</v>
      </c>
      <c r="X43" s="172">
        <v>97948</v>
      </c>
      <c r="Y43" s="248">
        <v>99210</v>
      </c>
      <c r="Z43" s="172">
        <v>93743</v>
      </c>
      <c r="AA43" s="173">
        <v>92931</v>
      </c>
      <c r="AB43" s="172">
        <v>93515</v>
      </c>
      <c r="AC43" s="33">
        <v>90224</v>
      </c>
      <c r="AD43" s="34">
        <f>41061.6+46289.43</f>
        <v>87351.03</v>
      </c>
      <c r="AE43" s="33">
        <v>87596</v>
      </c>
      <c r="AF43" s="34">
        <v>88413</v>
      </c>
      <c r="AG43" s="33">
        <v>85045</v>
      </c>
      <c r="AH43" s="34">
        <v>79829.509999999995</v>
      </c>
      <c r="AI43" s="33">
        <v>75200</v>
      </c>
      <c r="AJ43" s="34">
        <v>80163.100000000006</v>
      </c>
      <c r="AK43" s="33">
        <v>73300</v>
      </c>
      <c r="AL43" s="34">
        <v>70887.13</v>
      </c>
      <c r="AM43" s="34">
        <v>68476</v>
      </c>
      <c r="AN43" s="171"/>
    </row>
    <row r="44" spans="1:40" s="33" customFormat="1" ht="14" x14ac:dyDescent="0.2">
      <c r="B44" s="45" t="s">
        <v>76</v>
      </c>
      <c r="C44" s="45">
        <f>7600*1.05*1.05</f>
        <v>8379</v>
      </c>
      <c r="D44" s="48">
        <f>F44*1.05</f>
        <v>8005.2000000000007</v>
      </c>
      <c r="E44" s="182">
        <v>12247</v>
      </c>
      <c r="F44" s="183">
        <v>7624</v>
      </c>
      <c r="G44" s="182">
        <v>12247</v>
      </c>
      <c r="H44" s="181">
        <v>11354.41</v>
      </c>
      <c r="I44" s="182">
        <v>14000</v>
      </c>
      <c r="J44" s="181">
        <v>11664</v>
      </c>
      <c r="K44" s="182">
        <v>13800</v>
      </c>
      <c r="L44" s="181">
        <v>12484</v>
      </c>
      <c r="M44" s="178">
        <v>15000</v>
      </c>
      <c r="N44" s="179">
        <v>10750</v>
      </c>
      <c r="O44" s="180">
        <v>14498</v>
      </c>
      <c r="P44" s="179">
        <v>14339</v>
      </c>
      <c r="Q44" s="178">
        <v>10376</v>
      </c>
      <c r="R44" s="177">
        <v>13464</v>
      </c>
      <c r="S44" s="176">
        <v>10074</v>
      </c>
      <c r="T44" s="175">
        <v>9422</v>
      </c>
      <c r="U44" s="176">
        <f>W44*1.03</f>
        <v>10300</v>
      </c>
      <c r="V44" s="175">
        <v>9496</v>
      </c>
      <c r="W44" s="248">
        <v>10000</v>
      </c>
      <c r="X44" s="172">
        <v>10042</v>
      </c>
      <c r="Y44" s="248">
        <v>9802</v>
      </c>
      <c r="Z44" s="172">
        <v>8490</v>
      </c>
      <c r="AA44" s="173">
        <v>8755</v>
      </c>
      <c r="AB44" s="172">
        <f>4287.47+4951.21</f>
        <v>9238.68</v>
      </c>
      <c r="AC44" s="33">
        <v>8500</v>
      </c>
      <c r="AD44" s="34">
        <f>4293.58+4986.44</f>
        <v>9280.02</v>
      </c>
      <c r="AE44" s="33">
        <v>7640</v>
      </c>
      <c r="AF44" s="34">
        <v>8288</v>
      </c>
      <c r="AG44" s="33">
        <v>7417</v>
      </c>
      <c r="AH44" s="34">
        <v>6805.78</v>
      </c>
      <c r="AI44" s="33">
        <v>7300</v>
      </c>
      <c r="AJ44" s="34">
        <v>6991.2</v>
      </c>
      <c r="AK44" s="33">
        <v>7300</v>
      </c>
      <c r="AL44" s="34">
        <v>6436.39</v>
      </c>
      <c r="AM44" s="34">
        <v>6179</v>
      </c>
      <c r="AN44" s="171"/>
    </row>
    <row r="45" spans="1:40" s="33" customFormat="1" ht="14" x14ac:dyDescent="0.2">
      <c r="B45" s="45" t="s">
        <v>75</v>
      </c>
      <c r="C45" s="45">
        <v>2500</v>
      </c>
      <c r="D45" s="48">
        <v>2400</v>
      </c>
      <c r="E45" s="182">
        <v>2400</v>
      </c>
      <c r="F45" s="183">
        <v>2166</v>
      </c>
      <c r="G45" s="182">
        <v>1800</v>
      </c>
      <c r="H45" s="181">
        <v>3665.67</v>
      </c>
      <c r="I45" s="182">
        <v>1800</v>
      </c>
      <c r="J45" s="181"/>
      <c r="K45" s="182">
        <v>1800</v>
      </c>
      <c r="L45" s="181">
        <v>1632</v>
      </c>
      <c r="M45" s="178">
        <v>1800</v>
      </c>
      <c r="N45" s="179">
        <v>1363</v>
      </c>
      <c r="O45" s="180">
        <v>1800</v>
      </c>
      <c r="P45" s="179">
        <v>4000</v>
      </c>
      <c r="Q45" s="178">
        <v>1800</v>
      </c>
      <c r="R45" s="177">
        <v>1800</v>
      </c>
      <c r="S45" s="176">
        <v>1800</v>
      </c>
      <c r="T45" s="175">
        <v>1800</v>
      </c>
      <c r="U45" s="176">
        <v>1800</v>
      </c>
      <c r="V45" s="175">
        <v>1800</v>
      </c>
      <c r="W45" s="248">
        <v>1800</v>
      </c>
      <c r="X45" s="172">
        <v>1800</v>
      </c>
      <c r="Y45" s="248">
        <v>1800</v>
      </c>
      <c r="Z45" s="172">
        <v>1800</v>
      </c>
      <c r="AA45" s="173">
        <v>1800</v>
      </c>
      <c r="AB45" s="172">
        <v>1800</v>
      </c>
      <c r="AC45" s="33">
        <v>1900</v>
      </c>
      <c r="AD45" s="34">
        <v>1800</v>
      </c>
      <c r="AE45" s="33">
        <v>1900</v>
      </c>
      <c r="AF45" s="34">
        <v>1800</v>
      </c>
      <c r="AG45" s="33">
        <v>1910</v>
      </c>
      <c r="AH45" s="34">
        <v>1800</v>
      </c>
      <c r="AI45" s="33">
        <v>1800</v>
      </c>
      <c r="AJ45" s="34">
        <v>1800</v>
      </c>
      <c r="AK45" s="33">
        <v>1800</v>
      </c>
      <c r="AL45" s="34">
        <v>1800</v>
      </c>
      <c r="AM45" s="34">
        <v>1800</v>
      </c>
      <c r="AN45" s="171"/>
    </row>
    <row r="46" spans="1:40" s="33" customFormat="1" ht="14" x14ac:dyDescent="0.2">
      <c r="B46" s="45" t="s">
        <v>74</v>
      </c>
      <c r="C46" s="45">
        <v>1200</v>
      </c>
      <c r="D46" s="48">
        <v>1200</v>
      </c>
      <c r="E46" s="182">
        <v>1200</v>
      </c>
      <c r="F46" s="183">
        <v>1152</v>
      </c>
      <c r="G46" s="182">
        <v>1700</v>
      </c>
      <c r="H46" s="181">
        <f>527.63+500</f>
        <v>1027.6300000000001</v>
      </c>
      <c r="I46" s="182">
        <v>1650</v>
      </c>
      <c r="J46" s="181">
        <v>1313</v>
      </c>
      <c r="K46" s="182">
        <v>1000</v>
      </c>
      <c r="L46" s="181">
        <v>1608</v>
      </c>
      <c r="M46" s="178">
        <v>500</v>
      </c>
      <c r="N46" s="179">
        <v>1268</v>
      </c>
      <c r="O46" s="180">
        <v>1250</v>
      </c>
      <c r="P46" s="179">
        <v>895</v>
      </c>
      <c r="Q46" s="178">
        <v>1000</v>
      </c>
      <c r="R46" s="177">
        <v>1250</v>
      </c>
      <c r="S46" s="176">
        <v>1800</v>
      </c>
      <c r="T46" s="175">
        <v>750</v>
      </c>
      <c r="U46" s="176">
        <v>1800</v>
      </c>
      <c r="V46" s="175">
        <v>1000</v>
      </c>
      <c r="W46" s="248">
        <v>1000</v>
      </c>
      <c r="X46" s="172">
        <v>1000</v>
      </c>
      <c r="Y46" s="248">
        <v>1000</v>
      </c>
      <c r="Z46" s="172">
        <v>1000</v>
      </c>
      <c r="AA46" s="173">
        <v>1000</v>
      </c>
      <c r="AB46" s="172">
        <v>1000</v>
      </c>
      <c r="AC46" s="33">
        <v>1000</v>
      </c>
      <c r="AD46" s="34">
        <v>1317.36</v>
      </c>
      <c r="AE46" s="33">
        <v>1000</v>
      </c>
      <c r="AF46" s="34">
        <v>1728</v>
      </c>
      <c r="AG46" s="33">
        <v>1061</v>
      </c>
      <c r="AH46" s="34">
        <v>821.88</v>
      </c>
      <c r="AI46" s="33">
        <v>1000</v>
      </c>
      <c r="AJ46" s="34">
        <v>789.33</v>
      </c>
      <c r="AK46" s="33">
        <v>600</v>
      </c>
      <c r="AL46" s="34">
        <v>1016.77</v>
      </c>
      <c r="AM46" s="34">
        <v>618</v>
      </c>
      <c r="AN46" s="171"/>
    </row>
    <row r="47" spans="1:40" s="156" customFormat="1" ht="15" thickBot="1" x14ac:dyDescent="0.25">
      <c r="B47" s="170" t="s">
        <v>73</v>
      </c>
      <c r="C47" s="170">
        <f>4500*1.05</f>
        <v>4725</v>
      </c>
      <c r="D47" s="169">
        <f>E47*1.05</f>
        <v>4775.4000000000005</v>
      </c>
      <c r="E47" s="231">
        <v>4548</v>
      </c>
      <c r="F47" s="232">
        <v>1816</v>
      </c>
      <c r="G47" s="231"/>
      <c r="H47" s="230">
        <v>-567</v>
      </c>
      <c r="I47" s="231"/>
      <c r="J47" s="230"/>
      <c r="K47" s="231"/>
      <c r="L47" s="230"/>
      <c r="M47" s="245"/>
      <c r="N47" s="243"/>
      <c r="O47" s="244">
        <v>3500</v>
      </c>
      <c r="P47" s="228"/>
      <c r="Q47" s="227">
        <v>5000</v>
      </c>
      <c r="R47" s="226">
        <v>2561</v>
      </c>
      <c r="S47" s="225">
        <v>5000</v>
      </c>
      <c r="T47" s="224">
        <v>3916</v>
      </c>
      <c r="U47" s="225">
        <v>5000</v>
      </c>
      <c r="V47" s="224">
        <v>3483</v>
      </c>
      <c r="W47" s="242">
        <v>5000</v>
      </c>
      <c r="X47" s="223">
        <v>3829</v>
      </c>
      <c r="Y47" s="242">
        <v>5000</v>
      </c>
      <c r="Z47" s="223">
        <v>3124</v>
      </c>
      <c r="AA47" s="220">
        <v>4944</v>
      </c>
      <c r="AB47" s="223">
        <v>2796.24</v>
      </c>
      <c r="AC47" s="156">
        <v>4800</v>
      </c>
      <c r="AD47" s="158">
        <v>4480.04</v>
      </c>
      <c r="AE47" s="156">
        <v>4500</v>
      </c>
      <c r="AF47" s="158">
        <v>4676</v>
      </c>
      <c r="AG47" s="156">
        <v>4502</v>
      </c>
      <c r="AH47" s="158">
        <v>696.99</v>
      </c>
      <c r="AI47" s="156">
        <v>4200</v>
      </c>
      <c r="AJ47" s="158">
        <v>4244.25</v>
      </c>
      <c r="AK47" s="156">
        <v>4200</v>
      </c>
      <c r="AL47" s="158">
        <v>3640</v>
      </c>
      <c r="AM47" s="158">
        <v>2917</v>
      </c>
      <c r="AN47" s="157"/>
    </row>
    <row r="48" spans="1:40" s="116" customFormat="1" ht="16" thickTop="1" thickBot="1" x14ac:dyDescent="0.25">
      <c r="B48" s="155" t="s">
        <v>72</v>
      </c>
      <c r="C48" s="155">
        <f>SUM(C43:C47)</f>
        <v>114265</v>
      </c>
      <c r="D48" s="125">
        <f>SUM(D43:D47)</f>
        <v>108150.59999999999</v>
      </c>
      <c r="E48" s="125">
        <f>SUM(E43:E47)</f>
        <v>110395</v>
      </c>
      <c r="F48" s="154">
        <f>SUM(F43:F47)</f>
        <v>101171</v>
      </c>
      <c r="G48" s="125">
        <f>SUM(G43:G46)</f>
        <v>113085</v>
      </c>
      <c r="H48" s="125">
        <f>SUM(H43:H47)</f>
        <v>104885.39</v>
      </c>
      <c r="I48" s="125">
        <f>SUM(I43:I47)</f>
        <v>120450</v>
      </c>
      <c r="J48" s="126">
        <f>SUM(J43:J47)</f>
        <v>105680</v>
      </c>
      <c r="K48" s="125">
        <f>SUM(K43:K46)</f>
        <v>108600</v>
      </c>
      <c r="L48" s="126">
        <f>SUM(L43:L47)</f>
        <v>112068</v>
      </c>
      <c r="M48" s="128">
        <f>SUM(M43:M47)</f>
        <v>115300</v>
      </c>
      <c r="N48" s="127">
        <f>SUM(N43:N47)</f>
        <v>97525</v>
      </c>
      <c r="O48" s="125">
        <f>SUM(O43:O47)</f>
        <v>122144</v>
      </c>
      <c r="P48" s="135">
        <f>SUM(P43:P47)</f>
        <v>116285</v>
      </c>
      <c r="Q48" s="136">
        <f>SUM(Q43:Q47)</f>
        <v>127488</v>
      </c>
      <c r="R48" s="241">
        <f>SUM(R43:R47)</f>
        <v>116981</v>
      </c>
      <c r="S48" s="116">
        <f>SUM(S43:S47)</f>
        <v>124802</v>
      </c>
      <c r="T48" s="115">
        <f>SUM(T43:T47)</f>
        <v>107716</v>
      </c>
      <c r="U48" s="116">
        <f>SUM(U43:U47)</f>
        <v>123445</v>
      </c>
      <c r="V48" s="115">
        <f>SUM(V43:V47)</f>
        <v>115815</v>
      </c>
      <c r="W48" s="116">
        <f>SUM(W43:W47)</f>
        <v>119300</v>
      </c>
      <c r="X48" s="115">
        <f>SUM(X43:X47)</f>
        <v>114619</v>
      </c>
      <c r="Y48" s="116">
        <f>SUM(Y43:Y47)</f>
        <v>116812</v>
      </c>
      <c r="Z48" s="115">
        <f>SUM(Z43:Z47)</f>
        <v>108157</v>
      </c>
      <c r="AA48" s="116">
        <f>SUM(AA43:AA47)</f>
        <v>109430</v>
      </c>
      <c r="AB48" s="115">
        <f>SUM(AB43:AB47)</f>
        <v>108349.92</v>
      </c>
      <c r="AC48" s="116">
        <f>SUM(AC43:AC47)</f>
        <v>106424</v>
      </c>
      <c r="AD48" s="115">
        <f>SUM(AD43:AD47)</f>
        <v>104228.45</v>
      </c>
      <c r="AE48" s="116">
        <f>SUM(AE43:AE47)</f>
        <v>102636</v>
      </c>
      <c r="AF48" s="115">
        <f>SUM(AF43:AF47)</f>
        <v>104905</v>
      </c>
      <c r="AG48" s="116">
        <f>SUM(AG43:AG47)</f>
        <v>99935</v>
      </c>
      <c r="AH48" s="115">
        <f>SUM(AH43:AH47)</f>
        <v>89954.16</v>
      </c>
      <c r="AI48" s="116">
        <f>SUM(AI43:AI47)</f>
        <v>89500</v>
      </c>
      <c r="AJ48" s="115">
        <f>SUM(AJ43:AJ47)</f>
        <v>93987.88</v>
      </c>
      <c r="AK48" s="116">
        <f>SUM(AK43:AK47)</f>
        <v>87200</v>
      </c>
      <c r="AL48" s="115">
        <f>SUM(AL43:AL47)</f>
        <v>83780.290000000008</v>
      </c>
      <c r="AM48" s="115">
        <f>SUM(AM43:AM47)</f>
        <v>79990</v>
      </c>
      <c r="AN48" s="134"/>
    </row>
    <row r="49" spans="1:41" s="198" customFormat="1" ht="14" thickTop="1" x14ac:dyDescent="0.2">
      <c r="B49" s="82"/>
      <c r="C49" s="82"/>
      <c r="D49" s="208"/>
      <c r="E49" s="75"/>
      <c r="F49" s="207"/>
      <c r="G49" s="75"/>
      <c r="H49" s="206"/>
      <c r="I49" s="75"/>
      <c r="J49" s="206"/>
      <c r="K49" s="75"/>
      <c r="L49" s="206"/>
      <c r="M49" s="252"/>
      <c r="N49" s="204"/>
      <c r="O49" s="251"/>
      <c r="P49" s="250"/>
      <c r="Q49" s="73"/>
      <c r="R49" s="71"/>
      <c r="S49" s="72"/>
      <c r="T49" s="71"/>
      <c r="U49" s="72"/>
      <c r="V49" s="71" t="s">
        <v>0</v>
      </c>
      <c r="W49" s="203"/>
      <c r="X49" s="202"/>
      <c r="Y49" s="203"/>
      <c r="Z49" s="202"/>
      <c r="AB49" s="202"/>
      <c r="AD49" s="200"/>
      <c r="AF49" s="200"/>
      <c r="AH49" s="200"/>
      <c r="AJ49" s="201"/>
      <c r="AK49" s="249"/>
      <c r="AL49" s="201"/>
      <c r="AM49" s="201"/>
      <c r="AN49" s="199"/>
    </row>
    <row r="50" spans="1:41" s="184" customFormat="1" ht="14" x14ac:dyDescent="0.2">
      <c r="B50" s="197" t="s">
        <v>71</v>
      </c>
      <c r="C50" s="197"/>
      <c r="D50" s="196"/>
      <c r="E50" s="64"/>
      <c r="F50" s="65"/>
      <c r="G50" s="64"/>
      <c r="H50" s="63"/>
      <c r="I50" s="64"/>
      <c r="J50" s="63"/>
      <c r="K50" s="64"/>
      <c r="L50" s="63"/>
      <c r="M50" s="51"/>
      <c r="N50" s="50"/>
      <c r="O50" s="195"/>
      <c r="P50" s="194"/>
      <c r="Q50" s="193"/>
      <c r="R50" s="191"/>
      <c r="S50" s="192"/>
      <c r="T50" s="191"/>
      <c r="U50" s="192"/>
      <c r="V50" s="191"/>
      <c r="W50" s="190"/>
      <c r="X50" s="189"/>
      <c r="Y50" s="190"/>
      <c r="Z50" s="189"/>
      <c r="AA50" s="187"/>
      <c r="AB50" s="189"/>
      <c r="AC50" s="187"/>
      <c r="AD50" s="188"/>
      <c r="AE50" s="187"/>
      <c r="AF50" s="188"/>
      <c r="AG50" s="187"/>
      <c r="AH50" s="188"/>
      <c r="AI50" s="187"/>
      <c r="AJ50" s="34"/>
      <c r="AK50" s="33"/>
      <c r="AL50" s="34"/>
      <c r="AM50" s="34"/>
      <c r="AN50" s="185"/>
    </row>
    <row r="51" spans="1:41" s="33" customFormat="1" ht="14" x14ac:dyDescent="0.2">
      <c r="B51" s="45" t="s">
        <v>70</v>
      </c>
      <c r="C51" s="45"/>
      <c r="D51" s="48"/>
      <c r="E51" s="182">
        <v>300</v>
      </c>
      <c r="F51" s="183"/>
      <c r="G51" s="182">
        <v>150</v>
      </c>
      <c r="H51" s="181">
        <v>0</v>
      </c>
      <c r="I51" s="182">
        <v>500</v>
      </c>
      <c r="J51" s="181">
        <v>60</v>
      </c>
      <c r="K51" s="182">
        <v>380</v>
      </c>
      <c r="L51" s="181">
        <v>73</v>
      </c>
      <c r="M51" s="178">
        <v>500</v>
      </c>
      <c r="N51" s="179">
        <v>103</v>
      </c>
      <c r="O51" s="180">
        <v>300</v>
      </c>
      <c r="P51" s="179">
        <v>851</v>
      </c>
      <c r="Q51" s="178">
        <v>500</v>
      </c>
      <c r="R51" s="177">
        <v>576</v>
      </c>
      <c r="S51" s="176">
        <v>500</v>
      </c>
      <c r="T51" s="175">
        <v>131</v>
      </c>
      <c r="U51" s="176">
        <v>500</v>
      </c>
      <c r="V51" s="175"/>
      <c r="W51" s="248">
        <v>500</v>
      </c>
      <c r="X51" s="172">
        <v>243</v>
      </c>
      <c r="Y51" s="248">
        <v>155</v>
      </c>
      <c r="Z51" s="172"/>
      <c r="AA51" s="173">
        <v>500</v>
      </c>
      <c r="AB51" s="172">
        <v>154.76</v>
      </c>
      <c r="AC51" s="33">
        <v>1000</v>
      </c>
      <c r="AD51" s="34"/>
      <c r="AE51" s="33">
        <v>700</v>
      </c>
      <c r="AF51" s="34">
        <v>1016</v>
      </c>
      <c r="AG51" s="33">
        <v>700</v>
      </c>
      <c r="AH51" s="34">
        <v>59</v>
      </c>
      <c r="AI51" s="33">
        <v>700</v>
      </c>
      <c r="AJ51" s="34"/>
      <c r="AK51" s="33">
        <v>700</v>
      </c>
      <c r="AL51" s="34">
        <v>105</v>
      </c>
      <c r="AM51" s="34">
        <v>199</v>
      </c>
      <c r="AN51" s="171"/>
    </row>
    <row r="52" spans="1:41" s="33" customFormat="1" ht="14" x14ac:dyDescent="0.2">
      <c r="B52" s="45" t="s">
        <v>69</v>
      </c>
      <c r="C52" s="45">
        <v>1200</v>
      </c>
      <c r="D52" s="48"/>
      <c r="E52" s="182">
        <v>2000</v>
      </c>
      <c r="F52" s="183">
        <v>1108</v>
      </c>
      <c r="G52" s="182">
        <v>1000</v>
      </c>
      <c r="H52" s="181">
        <v>1065.0899999999999</v>
      </c>
      <c r="I52" s="182">
        <v>1000</v>
      </c>
      <c r="J52" s="181">
        <v>612</v>
      </c>
      <c r="K52" s="182">
        <v>1000</v>
      </c>
      <c r="L52" s="181">
        <v>916</v>
      </c>
      <c r="M52" s="178">
        <v>1000</v>
      </c>
      <c r="N52" s="179">
        <v>1602</v>
      </c>
      <c r="O52" s="180">
        <v>1000</v>
      </c>
      <c r="P52" s="179">
        <v>1214</v>
      </c>
      <c r="Q52" s="178">
        <v>1500</v>
      </c>
      <c r="R52" s="177">
        <v>869</v>
      </c>
      <c r="S52" s="176">
        <v>1500</v>
      </c>
      <c r="T52" s="175">
        <v>622</v>
      </c>
      <c r="U52" s="176">
        <v>1500</v>
      </c>
      <c r="V52" s="175">
        <v>1121</v>
      </c>
      <c r="W52" s="248">
        <v>1500</v>
      </c>
      <c r="X52" s="172">
        <v>1080</v>
      </c>
      <c r="Y52" s="248">
        <v>1500</v>
      </c>
      <c r="Z52" s="172">
        <v>1160</v>
      </c>
      <c r="AA52" s="173">
        <v>1500</v>
      </c>
      <c r="AB52" s="172">
        <v>1220.3800000000001</v>
      </c>
      <c r="AC52" s="33">
        <v>1500</v>
      </c>
      <c r="AD52" s="34">
        <v>1716</v>
      </c>
      <c r="AE52" s="33">
        <v>1200</v>
      </c>
      <c r="AF52" s="34">
        <v>1579</v>
      </c>
      <c r="AG52" s="33">
        <v>1200</v>
      </c>
      <c r="AH52" s="34">
        <v>1038.57</v>
      </c>
      <c r="AI52" s="33">
        <v>1200</v>
      </c>
      <c r="AJ52" s="34">
        <v>966.16</v>
      </c>
      <c r="AK52" s="33">
        <v>800</v>
      </c>
      <c r="AL52" s="34">
        <v>1367.34</v>
      </c>
      <c r="AM52" s="34">
        <v>569</v>
      </c>
      <c r="AN52" s="171"/>
    </row>
    <row r="53" spans="1:41" s="33" customFormat="1" ht="14" x14ac:dyDescent="0.2">
      <c r="B53" s="45" t="s">
        <v>68</v>
      </c>
      <c r="C53" s="45">
        <v>10000</v>
      </c>
      <c r="D53" s="48"/>
      <c r="E53" s="182">
        <v>6500</v>
      </c>
      <c r="F53" s="183">
        <v>9064</v>
      </c>
      <c r="G53" s="182">
        <v>4500</v>
      </c>
      <c r="H53" s="181">
        <v>11344.07</v>
      </c>
      <c r="I53" s="182">
        <v>5000</v>
      </c>
      <c r="J53" s="181">
        <v>4049</v>
      </c>
      <c r="K53" s="182">
        <v>9000</v>
      </c>
      <c r="L53" s="181">
        <v>3534</v>
      </c>
      <c r="M53" s="178">
        <v>9000</v>
      </c>
      <c r="N53" s="179">
        <v>3703</v>
      </c>
      <c r="O53" s="180">
        <v>8700</v>
      </c>
      <c r="P53" s="179">
        <v>7314</v>
      </c>
      <c r="Q53" s="178">
        <v>9000</v>
      </c>
      <c r="R53" s="177">
        <v>8613</v>
      </c>
      <c r="S53" s="176">
        <v>7000</v>
      </c>
      <c r="T53" s="175">
        <v>9241</v>
      </c>
      <c r="U53" s="176">
        <v>8000</v>
      </c>
      <c r="V53" s="175">
        <v>5008</v>
      </c>
      <c r="W53" s="248">
        <v>10000</v>
      </c>
      <c r="X53" s="172">
        <v>6037</v>
      </c>
      <c r="Y53" s="248">
        <v>5500</v>
      </c>
      <c r="Z53" s="172">
        <v>8953</v>
      </c>
      <c r="AA53" s="173">
        <v>5478</v>
      </c>
      <c r="AB53" s="172">
        <f>4429.69+1009.12</f>
        <v>5438.8099999999995</v>
      </c>
      <c r="AC53" s="33">
        <v>4700</v>
      </c>
      <c r="AD53" s="34">
        <v>7973</v>
      </c>
      <c r="AE53" s="33">
        <v>4700</v>
      </c>
      <c r="AF53" s="34">
        <v>4942</v>
      </c>
      <c r="AG53" s="33">
        <v>4700</v>
      </c>
      <c r="AH53" s="34">
        <v>4081.92</v>
      </c>
      <c r="AI53" s="33">
        <v>4700</v>
      </c>
      <c r="AJ53" s="34">
        <v>3485.55</v>
      </c>
      <c r="AK53" s="33">
        <v>4700</v>
      </c>
      <c r="AL53" s="34">
        <v>4382.34</v>
      </c>
      <c r="AM53" s="34">
        <v>4137</v>
      </c>
      <c r="AN53" s="171"/>
    </row>
    <row r="54" spans="1:41" s="33" customFormat="1" ht="14" x14ac:dyDescent="0.2">
      <c r="B54" s="45" t="s">
        <v>67</v>
      </c>
      <c r="C54" s="45">
        <v>2000</v>
      </c>
      <c r="D54" s="48"/>
      <c r="E54" s="182">
        <v>2000</v>
      </c>
      <c r="F54" s="183">
        <v>6949</v>
      </c>
      <c r="G54" s="182">
        <v>0</v>
      </c>
      <c r="H54" s="181">
        <v>1625</v>
      </c>
      <c r="I54" s="182">
        <v>15000</v>
      </c>
      <c r="J54" s="181">
        <v>13230</v>
      </c>
      <c r="K54" s="182">
        <v>15000</v>
      </c>
      <c r="L54" s="181">
        <v>21102</v>
      </c>
      <c r="M54" s="178">
        <v>15000</v>
      </c>
      <c r="N54" s="179">
        <v>7458</v>
      </c>
      <c r="O54" s="180">
        <v>14300</v>
      </c>
      <c r="P54" s="179">
        <v>29841</v>
      </c>
      <c r="Q54" s="178">
        <v>10000</v>
      </c>
      <c r="R54" s="177">
        <v>14292</v>
      </c>
      <c r="S54" s="176">
        <v>15000</v>
      </c>
      <c r="T54" s="175">
        <v>2256</v>
      </c>
      <c r="U54" s="176">
        <v>15000</v>
      </c>
      <c r="V54" s="175">
        <v>2126</v>
      </c>
      <c r="W54" s="248">
        <v>14000</v>
      </c>
      <c r="X54" s="172">
        <v>14492</v>
      </c>
      <c r="Y54" s="248">
        <v>15000</v>
      </c>
      <c r="Z54" s="172">
        <v>10881</v>
      </c>
      <c r="AA54" s="173">
        <v>15000</v>
      </c>
      <c r="AB54" s="172">
        <v>6704.02</v>
      </c>
      <c r="AC54" s="33">
        <v>15000</v>
      </c>
      <c r="AD54" s="34">
        <v>10029.32</v>
      </c>
      <c r="AE54" s="33">
        <v>13000</v>
      </c>
      <c r="AF54" s="34">
        <v>13563</v>
      </c>
      <c r="AG54" s="33">
        <v>12000</v>
      </c>
      <c r="AH54" s="34">
        <v>914.68</v>
      </c>
      <c r="AI54" s="33">
        <v>10000</v>
      </c>
      <c r="AJ54" s="34">
        <v>11854.8</v>
      </c>
      <c r="AK54" s="33">
        <v>5000</v>
      </c>
      <c r="AL54" s="34">
        <v>750</v>
      </c>
      <c r="AM54" s="34">
        <v>701</v>
      </c>
      <c r="AN54" s="171"/>
      <c r="AO54" s="33">
        <f>AVERAGE(P54:AB54)</f>
        <v>12660.924615384614</v>
      </c>
    </row>
    <row r="55" spans="1:41" s="33" customFormat="1" ht="14" x14ac:dyDescent="0.2">
      <c r="B55" s="45" t="s">
        <v>66</v>
      </c>
      <c r="C55" s="45">
        <v>22000</v>
      </c>
      <c r="D55" s="48"/>
      <c r="E55" s="182">
        <v>25000</v>
      </c>
      <c r="F55" s="183">
        <v>24159</v>
      </c>
      <c r="G55" s="182">
        <v>15000</v>
      </c>
      <c r="H55" s="181">
        <v>24672.55</v>
      </c>
      <c r="I55" s="182">
        <v>22000</v>
      </c>
      <c r="J55" s="181">
        <v>13441</v>
      </c>
      <c r="K55" s="182">
        <v>20000</v>
      </c>
      <c r="L55" s="181">
        <v>21765</v>
      </c>
      <c r="M55" s="178">
        <v>17500</v>
      </c>
      <c r="N55" s="179">
        <v>19296</v>
      </c>
      <c r="O55" s="180">
        <v>20000</v>
      </c>
      <c r="P55" s="179">
        <v>14487</v>
      </c>
      <c r="Q55" s="178">
        <v>20000</v>
      </c>
      <c r="R55" s="177">
        <v>17399</v>
      </c>
      <c r="S55" s="176">
        <v>20000</v>
      </c>
      <c r="T55" s="175">
        <v>14765</v>
      </c>
      <c r="U55" s="176">
        <v>17000</v>
      </c>
      <c r="V55" s="175">
        <v>21101</v>
      </c>
      <c r="W55" s="248">
        <v>17000</v>
      </c>
      <c r="X55" s="172">
        <v>10501</v>
      </c>
      <c r="Y55" s="248">
        <v>14500</v>
      </c>
      <c r="Z55" s="172">
        <v>16668</v>
      </c>
      <c r="AA55" s="173">
        <v>14500</v>
      </c>
      <c r="AB55" s="172">
        <v>14612</v>
      </c>
      <c r="AC55" s="33">
        <v>15000</v>
      </c>
      <c r="AD55" s="34">
        <v>11416</v>
      </c>
      <c r="AE55" s="33">
        <v>15000</v>
      </c>
      <c r="AF55" s="34">
        <v>10282</v>
      </c>
      <c r="AG55" s="33">
        <v>15000</v>
      </c>
      <c r="AH55" s="34">
        <f>22174.89+106.36</f>
        <v>22281.25</v>
      </c>
      <c r="AI55" s="33">
        <v>17500</v>
      </c>
      <c r="AJ55" s="34">
        <v>13019.96</v>
      </c>
      <c r="AK55" s="33">
        <v>17500</v>
      </c>
      <c r="AL55" s="34">
        <v>31583.29</v>
      </c>
      <c r="AM55" s="34">
        <v>15389</v>
      </c>
      <c r="AN55" s="171"/>
      <c r="AO55" s="33">
        <f>AVERAGE(P55:AB55)</f>
        <v>16348.692307692309</v>
      </c>
    </row>
    <row r="56" spans="1:41" s="33" customFormat="1" ht="14" x14ac:dyDescent="0.2">
      <c r="B56" s="45" t="s">
        <v>65</v>
      </c>
      <c r="C56" s="45">
        <v>0</v>
      </c>
      <c r="D56" s="48"/>
      <c r="E56" s="182">
        <v>500</v>
      </c>
      <c r="F56" s="183">
        <v>0</v>
      </c>
      <c r="G56" s="182">
        <v>100</v>
      </c>
      <c r="H56" s="181">
        <v>0</v>
      </c>
      <c r="I56" s="182">
        <v>1000</v>
      </c>
      <c r="J56" s="181">
        <v>21</v>
      </c>
      <c r="K56" s="182">
        <v>2200</v>
      </c>
      <c r="L56" s="181">
        <v>0</v>
      </c>
      <c r="M56" s="178">
        <v>2000</v>
      </c>
      <c r="N56" s="179">
        <v>2189</v>
      </c>
      <c r="O56" s="180">
        <v>10000</v>
      </c>
      <c r="P56" s="179">
        <v>160</v>
      </c>
      <c r="Q56" s="178">
        <v>10000</v>
      </c>
      <c r="R56" s="177">
        <v>2281</v>
      </c>
      <c r="S56" s="176">
        <v>3695</v>
      </c>
      <c r="T56" s="175">
        <v>6608</v>
      </c>
      <c r="U56" s="176">
        <v>4000</v>
      </c>
      <c r="V56" s="175">
        <v>1624</v>
      </c>
      <c r="W56" s="248">
        <v>6000</v>
      </c>
      <c r="X56" s="172">
        <v>1481</v>
      </c>
      <c r="Y56" s="248">
        <v>6000</v>
      </c>
      <c r="Z56" s="172">
        <v>5246</v>
      </c>
      <c r="AA56" s="173">
        <v>9000</v>
      </c>
      <c r="AB56" s="172">
        <v>7639.08</v>
      </c>
      <c r="AC56" s="33">
        <v>2000</v>
      </c>
      <c r="AD56" s="34">
        <v>330.64</v>
      </c>
      <c r="AE56" s="33">
        <v>2000</v>
      </c>
      <c r="AF56" s="34">
        <v>2014</v>
      </c>
      <c r="AG56" s="33">
        <v>4000</v>
      </c>
      <c r="AH56" s="34">
        <v>907.43</v>
      </c>
      <c r="AI56" s="33">
        <v>3000</v>
      </c>
      <c r="AJ56" s="34">
        <v>3940.82</v>
      </c>
      <c r="AK56" s="33">
        <v>1000</v>
      </c>
      <c r="AL56" s="34">
        <v>2049.67</v>
      </c>
      <c r="AM56" s="34">
        <v>8</v>
      </c>
      <c r="AN56" s="171"/>
      <c r="AO56" s="33">
        <f>AVERAGE(P56:AB56)</f>
        <v>4902.6215384615389</v>
      </c>
    </row>
    <row r="57" spans="1:41" s="33" customFormat="1" ht="14" x14ac:dyDescent="0.2">
      <c r="B57" s="45" t="s">
        <v>64</v>
      </c>
      <c r="C57" s="45">
        <v>0</v>
      </c>
      <c r="D57" s="48"/>
      <c r="E57" s="182">
        <v>250</v>
      </c>
      <c r="F57" s="183">
        <v>1673</v>
      </c>
      <c r="G57" s="182">
        <v>250</v>
      </c>
      <c r="H57" s="181">
        <v>1681.99</v>
      </c>
      <c r="I57" s="182">
        <v>1000</v>
      </c>
      <c r="J57" s="181">
        <v>196</v>
      </c>
      <c r="K57" s="182">
        <v>1000</v>
      </c>
      <c r="L57" s="181">
        <v>1778</v>
      </c>
      <c r="M57" s="178">
        <v>3000</v>
      </c>
      <c r="N57" s="179">
        <v>792</v>
      </c>
      <c r="O57" s="180">
        <v>3000</v>
      </c>
      <c r="P57" s="179">
        <v>429</v>
      </c>
      <c r="Q57" s="178">
        <v>5102</v>
      </c>
      <c r="R57" s="177">
        <v>576</v>
      </c>
      <c r="S57" s="176">
        <v>5000</v>
      </c>
      <c r="T57" s="175">
        <v>2610</v>
      </c>
      <c r="U57" s="176">
        <v>5000</v>
      </c>
      <c r="V57" s="175">
        <v>3383</v>
      </c>
      <c r="W57" s="248">
        <v>3500</v>
      </c>
      <c r="X57" s="172">
        <v>4218</v>
      </c>
      <c r="Y57" s="248">
        <v>4765</v>
      </c>
      <c r="Z57" s="172">
        <v>3150</v>
      </c>
      <c r="AA57" s="173">
        <v>3500</v>
      </c>
      <c r="AB57" s="172">
        <v>4699.49</v>
      </c>
      <c r="AC57" s="33">
        <v>3500</v>
      </c>
      <c r="AD57" s="34">
        <v>3106</v>
      </c>
      <c r="AE57" s="33">
        <v>3500</v>
      </c>
      <c r="AF57" s="34">
        <v>7029</v>
      </c>
      <c r="AG57" s="33">
        <v>2500</v>
      </c>
      <c r="AH57" s="34">
        <v>4341.33</v>
      </c>
      <c r="AI57" s="33">
        <v>3100</v>
      </c>
      <c r="AJ57" s="34">
        <v>1999.22</v>
      </c>
      <c r="AK57" s="33">
        <v>3100</v>
      </c>
      <c r="AL57" s="34">
        <v>2668.24</v>
      </c>
      <c r="AM57" s="34">
        <v>2039</v>
      </c>
      <c r="AN57" s="171"/>
      <c r="AO57" s="33">
        <f>AVERAGE(P57:AB57)</f>
        <v>3533.2684615384615</v>
      </c>
    </row>
    <row r="58" spans="1:41" s="33" customFormat="1" ht="14" x14ac:dyDescent="0.2">
      <c r="B58" s="45" t="s">
        <v>63</v>
      </c>
      <c r="C58" s="45">
        <v>5000</v>
      </c>
      <c r="D58" s="48"/>
      <c r="E58" s="182">
        <v>2000</v>
      </c>
      <c r="F58" s="183">
        <v>5404</v>
      </c>
      <c r="G58" s="182">
        <v>2000</v>
      </c>
      <c r="H58" s="181">
        <v>2699.26</v>
      </c>
      <c r="I58" s="182">
        <v>1000</v>
      </c>
      <c r="J58" s="181">
        <v>1818</v>
      </c>
      <c r="K58" s="182">
        <v>3200</v>
      </c>
      <c r="L58" s="181">
        <v>145</v>
      </c>
      <c r="M58" s="178">
        <v>2000</v>
      </c>
      <c r="N58" s="179">
        <v>3128</v>
      </c>
      <c r="O58" s="180">
        <v>850</v>
      </c>
      <c r="P58" s="179">
        <v>999</v>
      </c>
      <c r="Q58" s="178">
        <v>1000</v>
      </c>
      <c r="R58" s="177" t="s">
        <v>62</v>
      </c>
      <c r="S58" s="176">
        <v>961</v>
      </c>
      <c r="T58" s="175"/>
      <c r="U58" s="176">
        <v>961</v>
      </c>
      <c r="V58" s="175">
        <v>1607</v>
      </c>
      <c r="W58" s="248">
        <v>1500</v>
      </c>
      <c r="X58" s="172">
        <v>391</v>
      </c>
      <c r="Y58" s="248">
        <v>1000</v>
      </c>
      <c r="Z58" s="172">
        <v>1732</v>
      </c>
      <c r="AA58" s="173">
        <v>1000</v>
      </c>
      <c r="AB58" s="172">
        <v>806.47</v>
      </c>
      <c r="AC58" s="33">
        <v>1000</v>
      </c>
      <c r="AD58" s="34">
        <v>838</v>
      </c>
      <c r="AE58" s="33">
        <v>1000</v>
      </c>
      <c r="AF58" s="34">
        <v>536</v>
      </c>
      <c r="AG58" s="33">
        <v>1000</v>
      </c>
      <c r="AH58" s="34">
        <v>1040.1099999999999</v>
      </c>
      <c r="AI58" s="33">
        <v>2500</v>
      </c>
      <c r="AJ58" s="34">
        <v>524.35</v>
      </c>
      <c r="AK58" s="33">
        <v>4500</v>
      </c>
      <c r="AL58" s="34">
        <v>1560.1</v>
      </c>
      <c r="AM58" s="34">
        <v>3216</v>
      </c>
      <c r="AN58" s="171"/>
      <c r="AO58" s="33">
        <f>AVERAGE(P58:AB58)</f>
        <v>1087.0427272727272</v>
      </c>
    </row>
    <row r="59" spans="1:41" s="33" customFormat="1" ht="14" x14ac:dyDescent="0.2">
      <c r="B59" s="45" t="s">
        <v>61</v>
      </c>
      <c r="C59" s="45">
        <v>12000</v>
      </c>
      <c r="D59" s="48"/>
      <c r="E59" s="182">
        <v>9500</v>
      </c>
      <c r="F59" s="183">
        <v>16159</v>
      </c>
      <c r="G59" s="182">
        <v>9500</v>
      </c>
      <c r="H59" s="181">
        <v>7889.24</v>
      </c>
      <c r="I59" s="182">
        <v>15000</v>
      </c>
      <c r="J59" s="181">
        <v>8663</v>
      </c>
      <c r="K59" s="182">
        <v>22500</v>
      </c>
      <c r="L59" s="181">
        <v>16772</v>
      </c>
      <c r="M59" s="178">
        <v>10000</v>
      </c>
      <c r="N59" s="179">
        <v>21390</v>
      </c>
      <c r="O59" s="180">
        <v>10000</v>
      </c>
      <c r="P59" s="179">
        <v>23759</v>
      </c>
      <c r="Q59" s="178">
        <v>5000</v>
      </c>
      <c r="R59" s="177">
        <v>3109</v>
      </c>
      <c r="S59" s="176">
        <v>10000</v>
      </c>
      <c r="T59" s="175">
        <v>1998</v>
      </c>
      <c r="U59" s="176">
        <v>12000</v>
      </c>
      <c r="V59" s="175">
        <v>1114</v>
      </c>
      <c r="W59" s="248">
        <v>5000</v>
      </c>
      <c r="X59" s="172">
        <v>12337</v>
      </c>
      <c r="Y59" s="248">
        <v>5000</v>
      </c>
      <c r="Z59" s="172">
        <v>4738</v>
      </c>
      <c r="AA59" s="173">
        <v>5000</v>
      </c>
      <c r="AB59" s="172">
        <v>12548</v>
      </c>
      <c r="AC59" s="33">
        <v>4500</v>
      </c>
      <c r="AD59" s="34">
        <v>6527</v>
      </c>
      <c r="AE59" s="33">
        <v>3000</v>
      </c>
      <c r="AF59" s="34">
        <v>3528</v>
      </c>
      <c r="AG59" s="33">
        <v>3000</v>
      </c>
      <c r="AH59" s="34">
        <f>6214.88+1155.07</f>
        <v>7369.95</v>
      </c>
      <c r="AI59" s="33">
        <v>5000</v>
      </c>
      <c r="AJ59" s="34">
        <v>2605.3000000000002</v>
      </c>
      <c r="AK59" s="33">
        <v>4000</v>
      </c>
      <c r="AL59" s="34">
        <v>6178.87</v>
      </c>
      <c r="AM59" s="34">
        <v>1753</v>
      </c>
      <c r="AN59" s="171"/>
      <c r="AO59" s="33">
        <f>AVERAGE(P59:AB59)</f>
        <v>7815.6153846153848</v>
      </c>
    </row>
    <row r="60" spans="1:41" s="33" customFormat="1" ht="14" x14ac:dyDescent="0.2">
      <c r="B60" s="45" t="s">
        <v>60</v>
      </c>
      <c r="C60" s="45">
        <v>2000</v>
      </c>
      <c r="D60" s="48"/>
      <c r="E60" s="182">
        <v>2000</v>
      </c>
      <c r="F60" s="183">
        <f>275+821</f>
        <v>1096</v>
      </c>
      <c r="G60" s="182">
        <v>1000</v>
      </c>
      <c r="H60" s="181">
        <v>0</v>
      </c>
      <c r="I60" s="182">
        <v>1000</v>
      </c>
      <c r="J60" s="181">
        <v>-300</v>
      </c>
      <c r="K60" s="182">
        <v>1200</v>
      </c>
      <c r="L60" s="181">
        <v>812</v>
      </c>
      <c r="M60" s="178">
        <v>1200</v>
      </c>
      <c r="N60" s="179">
        <v>75</v>
      </c>
      <c r="O60" s="180">
        <v>500</v>
      </c>
      <c r="P60" s="179">
        <v>1727</v>
      </c>
      <c r="Q60" s="178"/>
      <c r="R60" s="177"/>
      <c r="S60" s="176"/>
      <c r="T60" s="175"/>
      <c r="U60" s="176"/>
      <c r="V60" s="175">
        <v>2002</v>
      </c>
      <c r="W60" s="248">
        <v>3000</v>
      </c>
      <c r="X60" s="172"/>
      <c r="Y60" s="248">
        <v>250</v>
      </c>
      <c r="Z60" s="172">
        <v>2776</v>
      </c>
      <c r="AA60" s="173">
        <v>3000</v>
      </c>
      <c r="AB60" s="172">
        <v>978</v>
      </c>
      <c r="AC60" s="33">
        <v>3000</v>
      </c>
      <c r="AD60" s="34"/>
      <c r="AE60" s="33">
        <v>3000</v>
      </c>
      <c r="AF60" s="34">
        <v>697</v>
      </c>
      <c r="AG60" s="33">
        <v>3000</v>
      </c>
      <c r="AH60" s="34">
        <v>5079.38</v>
      </c>
      <c r="AI60" s="33">
        <v>3100</v>
      </c>
      <c r="AJ60" s="34"/>
      <c r="AK60" s="33">
        <v>3100</v>
      </c>
      <c r="AL60" s="34">
        <v>3322</v>
      </c>
      <c r="AM60" s="34">
        <v>298</v>
      </c>
      <c r="AN60" s="171"/>
      <c r="AO60" s="33">
        <f>AVERAGE(P60:AB60)</f>
        <v>1961.8571428571429</v>
      </c>
    </row>
    <row r="61" spans="1:41" s="33" customFormat="1" ht="14" x14ac:dyDescent="0.2">
      <c r="B61" s="45" t="s">
        <v>59</v>
      </c>
      <c r="C61" s="45">
        <v>1500</v>
      </c>
      <c r="D61" s="48"/>
      <c r="E61" s="182">
        <v>4000</v>
      </c>
      <c r="F61" s="183">
        <v>4016</v>
      </c>
      <c r="G61" s="182">
        <v>3000</v>
      </c>
      <c r="H61" s="181">
        <v>0</v>
      </c>
      <c r="I61" s="182">
        <v>1500</v>
      </c>
      <c r="J61" s="181">
        <v>1390</v>
      </c>
      <c r="K61" s="182">
        <v>1500</v>
      </c>
      <c r="L61" s="181">
        <v>4563</v>
      </c>
      <c r="M61" s="178">
        <v>2000</v>
      </c>
      <c r="N61" s="179"/>
      <c r="O61" s="180">
        <v>1500</v>
      </c>
      <c r="P61" s="179">
        <v>2619</v>
      </c>
      <c r="Q61" s="178">
        <v>1500</v>
      </c>
      <c r="R61" s="177">
        <v>76</v>
      </c>
      <c r="S61" s="176">
        <v>1500</v>
      </c>
      <c r="T61" s="175">
        <v>1750</v>
      </c>
      <c r="U61" s="176">
        <v>1500</v>
      </c>
      <c r="V61" s="175"/>
      <c r="W61" s="248">
        <v>1000</v>
      </c>
      <c r="X61" s="172">
        <v>1535</v>
      </c>
      <c r="Y61" s="248">
        <v>500</v>
      </c>
      <c r="Z61" s="172"/>
      <c r="AA61" s="173">
        <v>1000</v>
      </c>
      <c r="AB61" s="172"/>
      <c r="AC61" s="33">
        <v>1000</v>
      </c>
      <c r="AD61" s="34">
        <v>1855.61</v>
      </c>
      <c r="AE61" s="33">
        <v>1000</v>
      </c>
      <c r="AF61" s="34"/>
      <c r="AG61" s="33">
        <v>1000</v>
      </c>
      <c r="AH61" s="34">
        <v>934.77</v>
      </c>
      <c r="AI61" s="33">
        <v>2000</v>
      </c>
      <c r="AJ61" s="34">
        <v>188.39</v>
      </c>
      <c r="AK61" s="33">
        <v>4000</v>
      </c>
      <c r="AL61" s="34">
        <v>215.07</v>
      </c>
      <c r="AM61" s="34">
        <v>5343</v>
      </c>
      <c r="AN61" s="171"/>
      <c r="AO61" s="33">
        <f>AVERAGE(P61:AB61)</f>
        <v>1298</v>
      </c>
    </row>
    <row r="62" spans="1:41" s="156" customFormat="1" ht="15" thickBot="1" x14ac:dyDescent="0.25">
      <c r="B62" s="170" t="s">
        <v>58</v>
      </c>
      <c r="C62" s="170">
        <v>7000</v>
      </c>
      <c r="D62" s="169"/>
      <c r="E62" s="229">
        <v>7000</v>
      </c>
      <c r="F62" s="247">
        <v>11843</v>
      </c>
      <c r="G62" s="229">
        <v>5000</v>
      </c>
      <c r="H62" s="246">
        <v>4250</v>
      </c>
      <c r="I62" s="229">
        <v>7000</v>
      </c>
      <c r="J62" s="246">
        <v>5404</v>
      </c>
      <c r="K62" s="229">
        <v>7000</v>
      </c>
      <c r="L62" s="246">
        <v>7325</v>
      </c>
      <c r="M62" s="245">
        <v>10000</v>
      </c>
      <c r="N62" s="228">
        <v>6920</v>
      </c>
      <c r="O62" s="244">
        <v>10000</v>
      </c>
      <c r="P62" s="243">
        <v>8490</v>
      </c>
      <c r="Q62" s="227">
        <v>10000</v>
      </c>
      <c r="R62" s="226">
        <v>0</v>
      </c>
      <c r="S62" s="225">
        <v>10000</v>
      </c>
      <c r="T62" s="224">
        <v>6086</v>
      </c>
      <c r="U62" s="225">
        <v>10000</v>
      </c>
      <c r="V62" s="224">
        <v>6130</v>
      </c>
      <c r="W62" s="242">
        <v>10000</v>
      </c>
      <c r="X62" s="223">
        <v>1320</v>
      </c>
      <c r="Y62" s="242">
        <v>10000</v>
      </c>
      <c r="Z62" s="223">
        <v>10065</v>
      </c>
      <c r="AA62" s="220">
        <v>10000</v>
      </c>
      <c r="AB62" s="223">
        <v>8085</v>
      </c>
      <c r="AC62" s="156">
        <v>11000</v>
      </c>
      <c r="AD62" s="158">
        <v>5150.05</v>
      </c>
      <c r="AE62" s="156">
        <v>9722</v>
      </c>
      <c r="AF62" s="158">
        <v>10381</v>
      </c>
      <c r="AG62" s="156">
        <v>8000</v>
      </c>
      <c r="AH62" s="158">
        <v>19265.84</v>
      </c>
      <c r="AI62" s="156">
        <v>7000</v>
      </c>
      <c r="AJ62" s="158">
        <v>2285</v>
      </c>
      <c r="AK62" s="156">
        <v>7000</v>
      </c>
      <c r="AL62" s="158">
        <v>2933.37</v>
      </c>
      <c r="AM62" s="158">
        <v>0</v>
      </c>
      <c r="AN62" s="157"/>
      <c r="AO62" s="156">
        <f>AVERAGE(P62:AB62)</f>
        <v>7705.8461538461543</v>
      </c>
    </row>
    <row r="63" spans="1:41" s="116" customFormat="1" ht="25.5" customHeight="1" thickTop="1" thickBot="1" x14ac:dyDescent="0.25">
      <c r="B63" s="155" t="s">
        <v>57</v>
      </c>
      <c r="C63" s="125">
        <f>SUM(C51:C62)</f>
        <v>62700</v>
      </c>
      <c r="D63" s="154"/>
      <c r="E63" s="125">
        <f>SUM(E51:E62)</f>
        <v>61050</v>
      </c>
      <c r="F63" s="154">
        <f>SUM(F51:F62)</f>
        <v>81471</v>
      </c>
      <c r="G63" s="125">
        <f>SUM(G51:G62)</f>
        <v>41500</v>
      </c>
      <c r="H63" s="125">
        <f>SUM(H51:H62)</f>
        <v>55227.199999999997</v>
      </c>
      <c r="I63" s="125">
        <f>SUM(I51:I62)</f>
        <v>71000</v>
      </c>
      <c r="J63" s="126">
        <f>SUM(J51:J62)</f>
        <v>48584</v>
      </c>
      <c r="K63" s="125">
        <f>SUM(K51:K62)</f>
        <v>83980</v>
      </c>
      <c r="L63" s="126">
        <f>SUM(L51:L62)</f>
        <v>78785</v>
      </c>
      <c r="M63" s="215">
        <f>SUM(M51:M62)</f>
        <v>73200</v>
      </c>
      <c r="N63" s="214">
        <f>SUM(N51:N62)</f>
        <v>66656</v>
      </c>
      <c r="O63" s="125">
        <f>SUM(O51:O62)</f>
        <v>80150</v>
      </c>
      <c r="P63" s="135">
        <f>SUM(P51:P62)</f>
        <v>91890</v>
      </c>
      <c r="Q63" s="136">
        <f>SUM(Q51:Q62)</f>
        <v>73602</v>
      </c>
      <c r="R63" s="241">
        <f>SUM(R51:R62)</f>
        <v>47791</v>
      </c>
      <c r="S63" s="116">
        <f>SUM(S51:S62)</f>
        <v>75156</v>
      </c>
      <c r="T63" s="115">
        <f>SUM(T51:T62)</f>
        <v>46067</v>
      </c>
      <c r="U63" s="116">
        <f>SUM(U51:U62)</f>
        <v>75461</v>
      </c>
      <c r="V63" s="115">
        <f>SUM(V51:V62)</f>
        <v>45216</v>
      </c>
      <c r="W63" s="116">
        <f>SUM(W51:W62)</f>
        <v>73000</v>
      </c>
      <c r="X63" s="115">
        <f>SUM(X51:X62)</f>
        <v>53635</v>
      </c>
      <c r="Y63" s="116">
        <f>SUM(Y51:Y62)</f>
        <v>64170</v>
      </c>
      <c r="Z63" s="115">
        <f>SUM(Z51:Z62)</f>
        <v>65369</v>
      </c>
      <c r="AA63" s="116">
        <f>SUM(AA51:AA62)</f>
        <v>69478</v>
      </c>
      <c r="AB63" s="115">
        <f>SUM(AB51:AB62)</f>
        <v>62886.01</v>
      </c>
      <c r="AC63" s="116">
        <f>SUM(AC51:AC62)</f>
        <v>63200</v>
      </c>
      <c r="AD63" s="115">
        <f>SUM(AD51:AD62)</f>
        <v>48941.62</v>
      </c>
      <c r="AE63" s="116">
        <f>SUM(AE51:AE62)</f>
        <v>57822</v>
      </c>
      <c r="AF63" s="115">
        <f>SUM(AF51:AF62)</f>
        <v>55567</v>
      </c>
      <c r="AG63" s="116">
        <f>SUM(AG51:AG62)</f>
        <v>56100</v>
      </c>
      <c r="AH63" s="115">
        <f>SUM(AH51:AH62)</f>
        <v>67314.23</v>
      </c>
      <c r="AI63" s="116">
        <f>SUM(AI51:AI62)</f>
        <v>59800</v>
      </c>
      <c r="AJ63" s="115">
        <f>SUM(AJ51:AJ62)</f>
        <v>40869.550000000003</v>
      </c>
      <c r="AK63" s="116">
        <f>SUM(AK51:AK62)</f>
        <v>55400</v>
      </c>
      <c r="AL63" s="115">
        <f>SUM(AL51:AL62)</f>
        <v>57115.29</v>
      </c>
      <c r="AM63" s="115">
        <f>SUM(AM51:AM62)</f>
        <v>33652</v>
      </c>
      <c r="AN63" s="134"/>
    </row>
    <row r="64" spans="1:41" s="198" customFormat="1" ht="14" thickTop="1" x14ac:dyDescent="0.2">
      <c r="A64" s="240"/>
      <c r="B64" s="239"/>
      <c r="C64" s="239"/>
      <c r="D64" s="238"/>
      <c r="E64" s="235"/>
      <c r="F64" s="237"/>
      <c r="G64" s="235"/>
      <c r="H64" s="236"/>
      <c r="I64" s="235"/>
      <c r="J64" s="236"/>
      <c r="K64" s="235"/>
      <c r="L64" s="236"/>
      <c r="M64" s="205"/>
      <c r="N64" s="204"/>
      <c r="O64" s="235"/>
      <c r="P64" s="236"/>
      <c r="Q64" s="235"/>
      <c r="R64" s="70"/>
      <c r="S64" s="69"/>
      <c r="T64" s="70"/>
      <c r="U64" s="72"/>
      <c r="V64" s="71"/>
      <c r="W64" s="203"/>
      <c r="X64" s="202" t="s">
        <v>0</v>
      </c>
      <c r="Y64" s="203"/>
      <c r="Z64" s="202"/>
      <c r="AB64" s="202"/>
      <c r="AD64" s="200"/>
      <c r="AF64" s="200"/>
      <c r="AH64" s="200"/>
      <c r="AJ64" s="200"/>
      <c r="AL64" s="200"/>
      <c r="AM64" s="200"/>
      <c r="AN64" s="199"/>
    </row>
    <row r="65" spans="2:47" s="184" customFormat="1" ht="14" x14ac:dyDescent="0.2">
      <c r="B65" s="197" t="s">
        <v>56</v>
      </c>
      <c r="C65" s="197"/>
      <c r="D65" s="196"/>
      <c r="E65" s="64"/>
      <c r="F65" s="65"/>
      <c r="G65" s="64"/>
      <c r="H65" s="63"/>
      <c r="I65" s="64"/>
      <c r="J65" s="63"/>
      <c r="K65" s="64"/>
      <c r="L65" s="63"/>
      <c r="M65" s="51"/>
      <c r="N65" s="50"/>
      <c r="O65" s="195"/>
      <c r="P65" s="194"/>
      <c r="Q65" s="193"/>
      <c r="R65" s="191"/>
      <c r="S65" s="192"/>
      <c r="T65" s="191"/>
      <c r="U65" s="192"/>
      <c r="V65" s="191"/>
      <c r="W65" s="190"/>
      <c r="X65" s="189"/>
      <c r="Y65" s="190"/>
      <c r="Z65" s="189"/>
      <c r="AA65" s="187" t="s">
        <v>0</v>
      </c>
      <c r="AB65" s="189"/>
      <c r="AC65" s="187" t="s">
        <v>0</v>
      </c>
      <c r="AD65" s="188"/>
      <c r="AE65" s="187" t="s">
        <v>0</v>
      </c>
      <c r="AF65" s="188"/>
      <c r="AG65" s="187"/>
      <c r="AH65" s="188"/>
      <c r="AI65" s="187"/>
      <c r="AJ65" s="34"/>
      <c r="AK65" s="33"/>
      <c r="AL65" s="34"/>
      <c r="AM65" s="34"/>
      <c r="AN65" s="185"/>
    </row>
    <row r="66" spans="2:47" s="33" customFormat="1" ht="14" x14ac:dyDescent="0.2">
      <c r="B66" s="45" t="s">
        <v>55</v>
      </c>
      <c r="C66" s="45">
        <v>7000</v>
      </c>
      <c r="D66" s="48"/>
      <c r="E66" s="182">
        <v>6500</v>
      </c>
      <c r="F66" s="183">
        <v>6208</v>
      </c>
      <c r="G66" s="182">
        <v>6000</v>
      </c>
      <c r="H66" s="181">
        <v>5447.76</v>
      </c>
      <c r="I66" s="182">
        <v>7000</v>
      </c>
      <c r="J66" s="181">
        <v>5920</v>
      </c>
      <c r="K66" s="182">
        <v>8000</v>
      </c>
      <c r="L66" s="181">
        <v>6419</v>
      </c>
      <c r="M66" s="178">
        <v>9000</v>
      </c>
      <c r="N66" s="179">
        <v>5009</v>
      </c>
      <c r="O66" s="180">
        <v>7700</v>
      </c>
      <c r="P66" s="179">
        <v>5919</v>
      </c>
      <c r="Q66" s="178">
        <v>10000</v>
      </c>
      <c r="R66" s="177">
        <v>6456</v>
      </c>
      <c r="S66" s="176">
        <v>10000</v>
      </c>
      <c r="T66" s="175">
        <v>7995</v>
      </c>
      <c r="U66" s="176">
        <v>10000</v>
      </c>
      <c r="V66" s="175">
        <v>8812</v>
      </c>
      <c r="W66" s="173">
        <v>10000</v>
      </c>
      <c r="X66" s="174">
        <v>5297</v>
      </c>
      <c r="Y66" s="173">
        <v>10000</v>
      </c>
      <c r="Z66" s="174">
        <v>8237</v>
      </c>
      <c r="AA66" s="173">
        <v>10000</v>
      </c>
      <c r="AB66" s="172">
        <v>8570.02</v>
      </c>
      <c r="AC66" s="173">
        <v>9445</v>
      </c>
      <c r="AD66" s="174">
        <v>8699.17</v>
      </c>
      <c r="AE66" s="173">
        <v>7000</v>
      </c>
      <c r="AF66" s="174">
        <v>8567</v>
      </c>
      <c r="AG66" s="173">
        <v>5720</v>
      </c>
      <c r="AH66" s="174">
        <v>6644.33</v>
      </c>
      <c r="AI66" s="173">
        <v>6000</v>
      </c>
      <c r="AJ66" s="174">
        <v>5200.2700000000004</v>
      </c>
      <c r="AK66" s="173">
        <v>6000</v>
      </c>
      <c r="AL66" s="174">
        <v>4099.6400000000003</v>
      </c>
      <c r="AM66" s="174">
        <v>4585</v>
      </c>
      <c r="AN66" s="233">
        <f>AVERAGE(P66,R66,T66,V66,X66,Z66,AB66)</f>
        <v>7326.5742857142859</v>
      </c>
      <c r="AO66" s="173">
        <f>AVERAGE(P66+R66+T66+V66+X66+Z66+AB66)</f>
        <v>51286.020000000004</v>
      </c>
      <c r="AP66" s="173"/>
    </row>
    <row r="67" spans="2:47" s="33" customFormat="1" ht="14" x14ac:dyDescent="0.2">
      <c r="B67" s="45" t="s">
        <v>54</v>
      </c>
      <c r="C67" s="45">
        <f>F67*1.1</f>
        <v>29313.9</v>
      </c>
      <c r="D67" s="48"/>
      <c r="E67" s="182">
        <v>32000</v>
      </c>
      <c r="F67" s="183">
        <v>26649</v>
      </c>
      <c r="G67" s="182">
        <v>28000</v>
      </c>
      <c r="H67" s="181">
        <v>28994.799999999999</v>
      </c>
      <c r="I67" s="182">
        <v>28000</v>
      </c>
      <c r="J67" s="181">
        <v>25419</v>
      </c>
      <c r="K67" s="182">
        <v>30000</v>
      </c>
      <c r="L67" s="181">
        <v>25471</v>
      </c>
      <c r="M67" s="178">
        <v>32000</v>
      </c>
      <c r="N67" s="179">
        <v>26991</v>
      </c>
      <c r="O67" s="180">
        <v>32000</v>
      </c>
      <c r="P67" s="179">
        <v>28199</v>
      </c>
      <c r="Q67" s="178">
        <v>28000</v>
      </c>
      <c r="R67" s="177">
        <v>29500</v>
      </c>
      <c r="S67" s="176">
        <v>28000</v>
      </c>
      <c r="T67" s="175">
        <v>26690</v>
      </c>
      <c r="U67" s="176">
        <v>26000</v>
      </c>
      <c r="V67" s="175">
        <v>26724</v>
      </c>
      <c r="W67" s="173">
        <v>25000</v>
      </c>
      <c r="X67" s="174">
        <v>25572</v>
      </c>
      <c r="Y67" s="173">
        <v>25000</v>
      </c>
      <c r="Z67" s="174">
        <v>24626</v>
      </c>
      <c r="AA67" s="173">
        <v>25000</v>
      </c>
      <c r="AB67" s="172">
        <v>23633.69</v>
      </c>
      <c r="AC67" s="173">
        <v>25000</v>
      </c>
      <c r="AD67" s="174">
        <v>22965.67</v>
      </c>
      <c r="AE67" s="173">
        <v>25000</v>
      </c>
      <c r="AF67" s="174">
        <v>20354</v>
      </c>
      <c r="AG67" s="173">
        <v>26135</v>
      </c>
      <c r="AH67" s="174">
        <v>20470.759999999998</v>
      </c>
      <c r="AI67" s="173">
        <v>22000</v>
      </c>
      <c r="AJ67" s="174">
        <v>21778.84</v>
      </c>
      <c r="AK67" s="173">
        <v>18000</v>
      </c>
      <c r="AL67" s="174">
        <v>18979.060000000001</v>
      </c>
      <c r="AM67" s="174">
        <v>16418</v>
      </c>
      <c r="AN67" s="233">
        <f>AVERAGE(P67,R67,T67,V67,X67,Z67,AB67)</f>
        <v>26420.670000000002</v>
      </c>
      <c r="AO67" s="173">
        <f>AVERAGE(P67:AB67)</f>
        <v>26303.437692307692</v>
      </c>
      <c r="AP67" s="173"/>
      <c r="AQ67" s="33" t="s">
        <v>0</v>
      </c>
      <c r="AR67" s="33" t="s">
        <v>0</v>
      </c>
      <c r="AS67" s="33" t="s">
        <v>0</v>
      </c>
      <c r="AT67" s="33" t="s">
        <v>0</v>
      </c>
      <c r="AU67" s="33" t="s">
        <v>0</v>
      </c>
    </row>
    <row r="68" spans="2:47" s="33" customFormat="1" ht="14" x14ac:dyDescent="0.2">
      <c r="B68" s="45" t="s">
        <v>53</v>
      </c>
      <c r="C68" s="45">
        <v>2000</v>
      </c>
      <c r="D68" s="48"/>
      <c r="E68" s="182">
        <v>2400</v>
      </c>
      <c r="F68" s="183">
        <v>1472</v>
      </c>
      <c r="G68" s="182">
        <v>2000</v>
      </c>
      <c r="H68" s="181">
        <v>725.72</v>
      </c>
      <c r="I68" s="182">
        <v>2000</v>
      </c>
      <c r="J68" s="181">
        <v>1794</v>
      </c>
      <c r="K68" s="182">
        <v>3500</v>
      </c>
      <c r="L68" s="181">
        <v>1281</v>
      </c>
      <c r="M68" s="178">
        <v>2500</v>
      </c>
      <c r="N68" s="179">
        <v>777</v>
      </c>
      <c r="O68" s="180">
        <v>3500</v>
      </c>
      <c r="P68" s="179">
        <v>1570</v>
      </c>
      <c r="Q68" s="178">
        <v>4000</v>
      </c>
      <c r="R68" s="177">
        <v>2366</v>
      </c>
      <c r="S68" s="176">
        <v>4000</v>
      </c>
      <c r="T68" s="175">
        <v>2205</v>
      </c>
      <c r="U68" s="176">
        <v>4000</v>
      </c>
      <c r="V68" s="175">
        <v>1619</v>
      </c>
      <c r="W68" s="173">
        <v>4000</v>
      </c>
      <c r="X68" s="174">
        <v>1981</v>
      </c>
      <c r="Y68" s="173">
        <v>4000</v>
      </c>
      <c r="Z68" s="174">
        <v>2150</v>
      </c>
      <c r="AA68" s="173">
        <v>4000</v>
      </c>
      <c r="AB68" s="172">
        <v>3249.3</v>
      </c>
      <c r="AC68" s="173">
        <v>5000</v>
      </c>
      <c r="AD68" s="174">
        <v>2834.58</v>
      </c>
      <c r="AE68" s="173">
        <v>5000</v>
      </c>
      <c r="AF68" s="174">
        <v>2794</v>
      </c>
      <c r="AG68" s="173">
        <v>5000</v>
      </c>
      <c r="AH68" s="174">
        <v>3076.97</v>
      </c>
      <c r="AI68" s="173">
        <v>5000</v>
      </c>
      <c r="AJ68" s="174">
        <v>3685.39</v>
      </c>
      <c r="AK68" s="173">
        <v>4500</v>
      </c>
      <c r="AL68" s="174">
        <v>3789.34</v>
      </c>
      <c r="AM68" s="174">
        <v>3737</v>
      </c>
      <c r="AN68" s="233">
        <f>AVERAGE(P68,R68,T68,V68,X68,Z68,AB68)</f>
        <v>2162.9</v>
      </c>
      <c r="AO68" s="173">
        <f>AVERAGE(P68:AB68)</f>
        <v>3010.792307692308</v>
      </c>
      <c r="AP68" s="173"/>
    </row>
    <row r="69" spans="2:47" s="33" customFormat="1" ht="14" x14ac:dyDescent="0.2">
      <c r="B69" s="45" t="s">
        <v>52</v>
      </c>
      <c r="C69" s="45">
        <f>F69*1.1</f>
        <v>46406.8</v>
      </c>
      <c r="D69" s="48"/>
      <c r="E69" s="182">
        <v>44000</v>
      </c>
      <c r="F69" s="183">
        <v>42188</v>
      </c>
      <c r="G69" s="182">
        <v>43000</v>
      </c>
      <c r="H69" s="181">
        <v>42263.14</v>
      </c>
      <c r="I69" s="182">
        <v>43000</v>
      </c>
      <c r="J69" s="181">
        <v>40781</v>
      </c>
      <c r="K69" s="182">
        <v>43000</v>
      </c>
      <c r="L69" s="181">
        <v>40990</v>
      </c>
      <c r="M69" s="178">
        <v>44000</v>
      </c>
      <c r="N69" s="179">
        <v>41647</v>
      </c>
      <c r="O69" s="180">
        <v>44000</v>
      </c>
      <c r="P69" s="179">
        <v>42784</v>
      </c>
      <c r="Q69" s="178">
        <v>44000</v>
      </c>
      <c r="R69" s="177">
        <v>38000</v>
      </c>
      <c r="S69" s="176">
        <v>43000</v>
      </c>
      <c r="T69" s="175">
        <v>42422</v>
      </c>
      <c r="U69" s="176">
        <v>37000</v>
      </c>
      <c r="V69" s="175">
        <v>41504</v>
      </c>
      <c r="W69" s="173">
        <v>35000</v>
      </c>
      <c r="X69" s="174">
        <v>35489</v>
      </c>
      <c r="Y69" s="173">
        <v>32000</v>
      </c>
      <c r="Z69" s="174">
        <v>35092</v>
      </c>
      <c r="AA69" s="173">
        <v>32000</v>
      </c>
      <c r="AB69" s="172">
        <v>32492.080000000002</v>
      </c>
      <c r="AC69" s="173">
        <v>32000</v>
      </c>
      <c r="AD69" s="174">
        <v>29801.88</v>
      </c>
      <c r="AE69" s="173">
        <v>32000</v>
      </c>
      <c r="AF69" s="174">
        <v>29158</v>
      </c>
      <c r="AG69" s="173">
        <v>30907</v>
      </c>
      <c r="AH69" s="174">
        <v>27728.71</v>
      </c>
      <c r="AI69" s="173">
        <v>25000</v>
      </c>
      <c r="AJ69" s="174">
        <v>26875.599999999999</v>
      </c>
      <c r="AK69" s="173">
        <v>21000</v>
      </c>
      <c r="AL69" s="174">
        <v>22800.19</v>
      </c>
      <c r="AM69" s="174">
        <v>19674</v>
      </c>
      <c r="AN69" s="233">
        <f>AVERAGE(P69,R69,T69,V69,X69,Z69,AB69)</f>
        <v>38254.72571428572</v>
      </c>
      <c r="AO69" s="173">
        <f>AVERAGE(P69:AB69)</f>
        <v>37752.544615384613</v>
      </c>
      <c r="AP69" s="173"/>
    </row>
    <row r="70" spans="2:47" s="33" customFormat="1" ht="14" x14ac:dyDescent="0.2">
      <c r="B70" s="45" t="s">
        <v>51</v>
      </c>
      <c r="C70" s="45">
        <v>5000</v>
      </c>
      <c r="D70" s="48"/>
      <c r="E70" s="182">
        <v>4600</v>
      </c>
      <c r="F70" s="183">
        <v>4239</v>
      </c>
      <c r="G70" s="182">
        <v>4000</v>
      </c>
      <c r="H70" s="181">
        <v>4185.76</v>
      </c>
      <c r="I70" s="182">
        <v>3500</v>
      </c>
      <c r="J70" s="181">
        <v>3577</v>
      </c>
      <c r="K70" s="182">
        <v>3300</v>
      </c>
      <c r="L70" s="181">
        <v>3088</v>
      </c>
      <c r="M70" s="178">
        <v>5000</v>
      </c>
      <c r="N70" s="179">
        <v>3259</v>
      </c>
      <c r="O70" s="180">
        <v>5000</v>
      </c>
      <c r="P70" s="179">
        <v>2877</v>
      </c>
      <c r="Q70" s="178">
        <v>3000</v>
      </c>
      <c r="R70" s="177">
        <v>4380</v>
      </c>
      <c r="S70" s="176">
        <v>3000</v>
      </c>
      <c r="T70" s="175">
        <v>2785</v>
      </c>
      <c r="U70" s="176">
        <v>3000</v>
      </c>
      <c r="V70" s="175">
        <v>2679</v>
      </c>
      <c r="W70" s="173">
        <v>3200</v>
      </c>
      <c r="X70" s="174">
        <v>2496</v>
      </c>
      <c r="Y70" s="173">
        <v>3200</v>
      </c>
      <c r="Z70" s="174">
        <v>2723</v>
      </c>
      <c r="AA70" s="173">
        <v>3200</v>
      </c>
      <c r="AB70" s="172">
        <v>2664.74</v>
      </c>
      <c r="AC70" s="173">
        <v>3175</v>
      </c>
      <c r="AD70" s="174">
        <v>2789.35</v>
      </c>
      <c r="AE70" s="173">
        <v>2500</v>
      </c>
      <c r="AF70" s="174">
        <v>2875</v>
      </c>
      <c r="AG70" s="173">
        <v>3159</v>
      </c>
      <c r="AH70" s="174">
        <v>2110.92</v>
      </c>
      <c r="AI70" s="173">
        <v>2700</v>
      </c>
      <c r="AJ70" s="174">
        <v>2871.75</v>
      </c>
      <c r="AK70" s="173">
        <v>2500</v>
      </c>
      <c r="AL70" s="174">
        <v>2385.5700000000002</v>
      </c>
      <c r="AM70" s="174">
        <v>2178</v>
      </c>
      <c r="AN70" s="233">
        <f>AVERAGE(P70,R70,T70,V70,X70,Z70,AB70)</f>
        <v>2943.5342857142855</v>
      </c>
      <c r="AO70" s="173">
        <f>AVERAGE(P70:AB70)</f>
        <v>3015.7492307692305</v>
      </c>
      <c r="AP70" s="173"/>
    </row>
    <row r="71" spans="2:47" s="33" customFormat="1" ht="14" x14ac:dyDescent="0.2">
      <c r="B71" s="45" t="s">
        <v>50</v>
      </c>
      <c r="C71" s="45">
        <v>20000</v>
      </c>
      <c r="D71" s="48">
        <v>19724</v>
      </c>
      <c r="E71" s="182">
        <v>17254</v>
      </c>
      <c r="F71" s="183">
        <v>18041</v>
      </c>
      <c r="G71" s="182">
        <v>20000</v>
      </c>
      <c r="H71" s="181">
        <v>19544.259999999998</v>
      </c>
      <c r="I71" s="182">
        <v>18960</v>
      </c>
      <c r="J71" s="181">
        <v>19211</v>
      </c>
      <c r="K71" s="182">
        <v>19000</v>
      </c>
      <c r="L71" s="181">
        <v>17917</v>
      </c>
      <c r="M71" s="178">
        <v>16000</v>
      </c>
      <c r="N71" s="179">
        <v>15830</v>
      </c>
      <c r="O71" s="234">
        <v>14773</v>
      </c>
      <c r="P71" s="179">
        <v>15441</v>
      </c>
      <c r="Q71" s="178">
        <v>14000</v>
      </c>
      <c r="R71" s="177">
        <v>13417</v>
      </c>
      <c r="S71" s="176">
        <v>14000</v>
      </c>
      <c r="T71" s="175">
        <v>13557</v>
      </c>
      <c r="U71" s="176">
        <v>14000</v>
      </c>
      <c r="V71" s="175">
        <v>13557</v>
      </c>
      <c r="W71" s="173">
        <v>14000</v>
      </c>
      <c r="X71" s="174">
        <v>13550</v>
      </c>
      <c r="Y71" s="173">
        <v>14250</v>
      </c>
      <c r="Z71" s="174">
        <v>13003</v>
      </c>
      <c r="AA71" s="173">
        <v>14000</v>
      </c>
      <c r="AB71" s="172">
        <v>14017.49</v>
      </c>
      <c r="AC71" s="173">
        <v>12500</v>
      </c>
      <c r="AD71" s="174">
        <v>13002.43</v>
      </c>
      <c r="AE71" s="173">
        <v>12000</v>
      </c>
      <c r="AF71" s="174">
        <v>11998</v>
      </c>
      <c r="AG71" s="173">
        <v>12000</v>
      </c>
      <c r="AH71" s="174">
        <v>11633.64</v>
      </c>
      <c r="AI71" s="173">
        <v>12000</v>
      </c>
      <c r="AJ71" s="174">
        <v>11236.36</v>
      </c>
      <c r="AK71" s="173">
        <v>11000</v>
      </c>
      <c r="AL71" s="174">
        <v>10536.83</v>
      </c>
      <c r="AM71" s="174">
        <v>9956</v>
      </c>
      <c r="AN71" s="233">
        <f>AVERAGE(P71,R71,T71,V71,X71,Z71,AB71)</f>
        <v>13791.784285714286</v>
      </c>
      <c r="AO71" s="173">
        <f>AVERAGE(P71:AB71)</f>
        <v>13907.114615384615</v>
      </c>
      <c r="AP71" s="173"/>
    </row>
    <row r="72" spans="2:47" s="33" customFormat="1" ht="14" x14ac:dyDescent="0.2">
      <c r="B72" s="45" t="s">
        <v>49</v>
      </c>
      <c r="C72" s="45">
        <v>33180</v>
      </c>
      <c r="D72" s="48">
        <v>33180</v>
      </c>
      <c r="E72" s="182">
        <f>79*35*12</f>
        <v>33180</v>
      </c>
      <c r="F72" s="183">
        <v>33180</v>
      </c>
      <c r="G72" s="182">
        <f>79*35*12</f>
        <v>33180</v>
      </c>
      <c r="H72" s="181">
        <v>33180</v>
      </c>
      <c r="I72" s="182">
        <v>33180</v>
      </c>
      <c r="J72" s="181">
        <v>33180</v>
      </c>
      <c r="K72" s="182">
        <v>33180</v>
      </c>
      <c r="L72" s="181">
        <v>35945</v>
      </c>
      <c r="M72" s="178">
        <f>80*12*35</f>
        <v>33600</v>
      </c>
      <c r="N72" s="179">
        <v>0</v>
      </c>
      <c r="O72" s="180">
        <v>1200</v>
      </c>
      <c r="P72" s="179">
        <v>218</v>
      </c>
      <c r="Q72" s="178">
        <v>0</v>
      </c>
      <c r="R72" s="177"/>
      <c r="S72" s="176"/>
      <c r="T72" s="175"/>
      <c r="U72" s="176"/>
      <c r="V72" s="175"/>
      <c r="W72" s="173"/>
      <c r="X72" s="174"/>
      <c r="Y72" s="173"/>
      <c r="Z72" s="174"/>
      <c r="AA72" s="173"/>
      <c r="AB72" s="172"/>
      <c r="AC72" s="173"/>
      <c r="AD72" s="174"/>
      <c r="AE72" s="173"/>
      <c r="AF72" s="174"/>
      <c r="AG72" s="173"/>
      <c r="AH72" s="174"/>
      <c r="AI72" s="173"/>
      <c r="AJ72" s="174"/>
      <c r="AK72" s="173"/>
      <c r="AL72" s="174"/>
      <c r="AM72" s="174"/>
      <c r="AN72" s="233"/>
      <c r="AO72" s="173">
        <f>AVERAGE(P72:AB72)</f>
        <v>109</v>
      </c>
      <c r="AP72" s="173"/>
    </row>
    <row r="73" spans="2:47" s="33" customFormat="1" ht="14" x14ac:dyDescent="0.2">
      <c r="B73" s="45" t="s">
        <v>48</v>
      </c>
      <c r="C73" s="45">
        <v>500</v>
      </c>
      <c r="D73" s="48"/>
      <c r="E73" s="182">
        <v>500</v>
      </c>
      <c r="F73" s="183">
        <v>468</v>
      </c>
      <c r="G73" s="182">
        <v>1000</v>
      </c>
      <c r="H73" s="181">
        <v>415.61</v>
      </c>
      <c r="I73" s="182">
        <v>500</v>
      </c>
      <c r="J73" s="181">
        <v>820</v>
      </c>
      <c r="K73" s="182">
        <v>500</v>
      </c>
      <c r="L73" s="181">
        <v>395</v>
      </c>
      <c r="M73" s="178">
        <v>600</v>
      </c>
      <c r="N73" s="179">
        <v>398</v>
      </c>
      <c r="O73" s="182">
        <v>350</v>
      </c>
      <c r="P73" s="179">
        <v>533</v>
      </c>
      <c r="Q73" s="178">
        <v>1000</v>
      </c>
      <c r="R73" s="177">
        <v>911</v>
      </c>
      <c r="S73" s="176">
        <v>800</v>
      </c>
      <c r="T73" s="175">
        <v>997</v>
      </c>
      <c r="U73" s="176">
        <v>800</v>
      </c>
      <c r="V73" s="175">
        <v>996</v>
      </c>
      <c r="W73" s="173">
        <v>700</v>
      </c>
      <c r="X73" s="174">
        <v>726</v>
      </c>
      <c r="Y73" s="173">
        <v>1200</v>
      </c>
      <c r="Z73" s="174">
        <v>583</v>
      </c>
      <c r="AA73" s="173">
        <v>1200</v>
      </c>
      <c r="AB73" s="172">
        <v>614.25</v>
      </c>
      <c r="AC73" s="173">
        <v>1200</v>
      </c>
      <c r="AD73" s="174">
        <v>942.33</v>
      </c>
      <c r="AE73" s="173">
        <v>1000</v>
      </c>
      <c r="AF73" s="174">
        <v>1142</v>
      </c>
      <c r="AG73" s="173">
        <v>1000</v>
      </c>
      <c r="AH73" s="174">
        <v>900.18</v>
      </c>
      <c r="AI73" s="173">
        <v>800</v>
      </c>
      <c r="AJ73" s="174">
        <v>931.48</v>
      </c>
      <c r="AK73" s="173">
        <v>800</v>
      </c>
      <c r="AL73" s="174">
        <v>774.13</v>
      </c>
      <c r="AM73" s="174">
        <v>783</v>
      </c>
      <c r="AN73" s="233"/>
      <c r="AO73" s="173"/>
      <c r="AP73" s="173"/>
    </row>
    <row r="74" spans="2:47" s="156" customFormat="1" ht="15" thickBot="1" x14ac:dyDescent="0.25">
      <c r="B74" s="170" t="s">
        <v>47</v>
      </c>
      <c r="C74" s="170"/>
      <c r="D74" s="169"/>
      <c r="E74" s="231"/>
      <c r="F74" s="232">
        <v>0</v>
      </c>
      <c r="G74" s="231"/>
      <c r="H74" s="230"/>
      <c r="I74" s="231"/>
      <c r="J74" s="230"/>
      <c r="K74" s="231"/>
      <c r="L74" s="230"/>
      <c r="M74" s="227"/>
      <c r="N74" s="228"/>
      <c r="O74" s="229"/>
      <c r="P74" s="228"/>
      <c r="Q74" s="227"/>
      <c r="R74" s="226"/>
      <c r="S74" s="225">
        <v>200</v>
      </c>
      <c r="T74" s="224"/>
      <c r="U74" s="225">
        <v>200</v>
      </c>
      <c r="V74" s="224"/>
      <c r="W74" s="220">
        <v>200</v>
      </c>
      <c r="X74" s="222">
        <v>174</v>
      </c>
      <c r="Y74" s="220">
        <v>200</v>
      </c>
      <c r="Z74" s="222">
        <v>187</v>
      </c>
      <c r="AA74" s="220">
        <v>100</v>
      </c>
      <c r="AB74" s="223">
        <v>170.45</v>
      </c>
      <c r="AC74" s="220">
        <v>100</v>
      </c>
      <c r="AD74" s="222">
        <v>89.04</v>
      </c>
      <c r="AE74" s="220">
        <v>100</v>
      </c>
      <c r="AF74" s="222">
        <v>104</v>
      </c>
      <c r="AG74" s="220">
        <v>100</v>
      </c>
      <c r="AH74" s="222">
        <v>73.7</v>
      </c>
      <c r="AI74" s="220">
        <v>200</v>
      </c>
      <c r="AJ74" s="222">
        <v>83.12</v>
      </c>
      <c r="AK74" s="220">
        <v>200</v>
      </c>
      <c r="AL74" s="222">
        <v>175.35</v>
      </c>
      <c r="AM74" s="222">
        <v>180</v>
      </c>
      <c r="AN74" s="221"/>
      <c r="AO74" s="220"/>
      <c r="AP74" s="220"/>
    </row>
    <row r="75" spans="2:47" s="209" customFormat="1" ht="16" thickTop="1" thickBot="1" x14ac:dyDescent="0.25">
      <c r="B75" s="219" t="s">
        <v>46</v>
      </c>
      <c r="C75" s="217">
        <f>SUM(C66:C73)</f>
        <v>143400.70000000001</v>
      </c>
      <c r="D75" s="218"/>
      <c r="E75" s="217">
        <f>SUM(E66:E73)</f>
        <v>140434</v>
      </c>
      <c r="F75" s="218">
        <f>SUM(F66:F73)</f>
        <v>132445</v>
      </c>
      <c r="G75" s="217">
        <f>SUM(G66:G73)</f>
        <v>137180</v>
      </c>
      <c r="H75" s="217">
        <f>SUM(H66:H73)</f>
        <v>134757.04999999999</v>
      </c>
      <c r="I75" s="217">
        <f>SUM(I66:I74)</f>
        <v>136140</v>
      </c>
      <c r="J75" s="216">
        <f>SUM(J66:J73)</f>
        <v>130702</v>
      </c>
      <c r="K75" s="217">
        <f>SUM(K66:K74)</f>
        <v>140480</v>
      </c>
      <c r="L75" s="216">
        <f>SUM(L66:L73)</f>
        <v>131506</v>
      </c>
      <c r="M75" s="215">
        <f>SUM(M66:M74)</f>
        <v>142700</v>
      </c>
      <c r="N75" s="214">
        <f>SUM(N66:N74)</f>
        <v>93911</v>
      </c>
      <c r="O75" s="212">
        <f>SUM(O66:O74)</f>
        <v>108523</v>
      </c>
      <c r="P75" s="213">
        <f>SUM(P66:P74)</f>
        <v>97541</v>
      </c>
      <c r="Q75" s="212">
        <f>SUM(Q66:Q74)</f>
        <v>104000</v>
      </c>
      <c r="R75" s="211">
        <f>SUM(R66:R74)</f>
        <v>95030</v>
      </c>
      <c r="S75" s="209">
        <f>SUM(S66:S74)</f>
        <v>103000</v>
      </c>
      <c r="T75" s="211">
        <f>SUM(T66:T74)</f>
        <v>96651</v>
      </c>
      <c r="U75" s="209">
        <f>SUM(U66:U74)</f>
        <v>95000</v>
      </c>
      <c r="V75" s="211">
        <f>SUM(V66:V74)</f>
        <v>95891</v>
      </c>
      <c r="W75" s="209">
        <f>SUM(W66:W74)</f>
        <v>92100</v>
      </c>
      <c r="X75" s="211">
        <f>SUM(X66:X74)</f>
        <v>85285</v>
      </c>
      <c r="Y75" s="209">
        <f>SUM(Y66:Y74)</f>
        <v>89850</v>
      </c>
      <c r="Z75" s="211">
        <f>SUM(Z66:Z74)</f>
        <v>86601</v>
      </c>
      <c r="AA75" s="209">
        <f>SUM(AA66:AA74)</f>
        <v>89500</v>
      </c>
      <c r="AB75" s="211">
        <f>SUM(AB66:AB74)</f>
        <v>85412.02</v>
      </c>
      <c r="AC75" s="209">
        <f>SUM(AC66:AC74)</f>
        <v>88420</v>
      </c>
      <c r="AD75" s="211">
        <f>SUM(AD66:AD74)</f>
        <v>81124.450000000012</v>
      </c>
      <c r="AE75" s="209">
        <f>SUM(AE66:AE74)</f>
        <v>84600</v>
      </c>
      <c r="AF75" s="211">
        <f>SUM(AF66:AF74)</f>
        <v>76992</v>
      </c>
      <c r="AG75" s="209">
        <f>SUM(AG66:AG74)</f>
        <v>84021</v>
      </c>
      <c r="AH75" s="211">
        <f>SUM(AH66:AH74)</f>
        <v>72639.209999999977</v>
      </c>
      <c r="AI75" s="209">
        <f>SUM(AI66:AI74)</f>
        <v>73700</v>
      </c>
      <c r="AJ75" s="211">
        <f>SUM(AJ66:AJ74)</f>
        <v>72662.809999999983</v>
      </c>
      <c r="AK75" s="209">
        <f>SUM(AK66:AK74)</f>
        <v>64000</v>
      </c>
      <c r="AL75" s="211">
        <f>SUM(AL66:AL74)</f>
        <v>63540.109999999993</v>
      </c>
      <c r="AM75" s="211">
        <f>SUM(AM66:AM74)</f>
        <v>57511</v>
      </c>
      <c r="AN75" s="210"/>
    </row>
    <row r="76" spans="2:47" s="198" customFormat="1" ht="14" thickTop="1" x14ac:dyDescent="0.2">
      <c r="B76" s="82"/>
      <c r="C76" s="82"/>
      <c r="D76" s="208"/>
      <c r="E76" s="75"/>
      <c r="F76" s="207"/>
      <c r="G76" s="75"/>
      <c r="H76" s="206"/>
      <c r="I76" s="75"/>
      <c r="J76" s="206"/>
      <c r="K76" s="75"/>
      <c r="L76" s="206"/>
      <c r="M76" s="205"/>
      <c r="N76" s="204"/>
      <c r="O76" s="75"/>
      <c r="P76" s="74"/>
      <c r="Q76" s="73"/>
      <c r="R76" s="71"/>
      <c r="S76" s="72"/>
      <c r="T76" s="71"/>
      <c r="U76" s="72"/>
      <c r="V76" s="71"/>
      <c r="W76" s="203"/>
      <c r="X76" s="202"/>
      <c r="Y76" s="203"/>
      <c r="Z76" s="202"/>
      <c r="AA76" s="198" t="s">
        <v>0</v>
      </c>
      <c r="AB76" s="202"/>
      <c r="AC76" s="198" t="s">
        <v>0</v>
      </c>
      <c r="AD76" s="200" t="s">
        <v>0</v>
      </c>
      <c r="AE76" s="198" t="s">
        <v>0</v>
      </c>
      <c r="AF76" s="200"/>
      <c r="AH76" s="200"/>
      <c r="AJ76" s="201"/>
      <c r="AL76" s="200"/>
      <c r="AM76" s="200"/>
      <c r="AN76" s="199"/>
    </row>
    <row r="77" spans="2:47" s="184" customFormat="1" ht="14" x14ac:dyDescent="0.2">
      <c r="B77" s="197" t="s">
        <v>45</v>
      </c>
      <c r="C77" s="197"/>
      <c r="D77" s="196"/>
      <c r="E77" s="64"/>
      <c r="F77" s="65"/>
      <c r="G77" s="64"/>
      <c r="H77" s="63"/>
      <c r="I77" s="64"/>
      <c r="J77" s="63"/>
      <c r="K77" s="64"/>
      <c r="L77" s="63"/>
      <c r="M77" s="51"/>
      <c r="N77" s="50"/>
      <c r="O77" s="195"/>
      <c r="P77" s="194"/>
      <c r="Q77" s="193"/>
      <c r="R77" s="191"/>
      <c r="S77" s="192"/>
      <c r="T77" s="191"/>
      <c r="U77" s="192"/>
      <c r="V77" s="191" t="s">
        <v>0</v>
      </c>
      <c r="W77" s="190"/>
      <c r="X77" s="189"/>
      <c r="Y77" s="190"/>
      <c r="Z77" s="189"/>
      <c r="AA77" s="187"/>
      <c r="AB77" s="189"/>
      <c r="AC77" s="187"/>
      <c r="AD77" s="188"/>
      <c r="AE77" s="187"/>
      <c r="AF77" s="188"/>
      <c r="AG77" s="187"/>
      <c r="AH77" s="188"/>
      <c r="AI77" s="187"/>
      <c r="AJ77" s="34"/>
      <c r="AL77" s="186"/>
      <c r="AM77" s="186"/>
      <c r="AN77" s="185"/>
    </row>
    <row r="78" spans="2:47" s="33" customFormat="1" ht="14" x14ac:dyDescent="0.2">
      <c r="B78" s="45" t="s">
        <v>44</v>
      </c>
      <c r="C78" s="45">
        <v>10000</v>
      </c>
      <c r="D78" s="48"/>
      <c r="E78" s="182">
        <v>10000</v>
      </c>
      <c r="F78" s="183">
        <v>10000</v>
      </c>
      <c r="G78" s="182">
        <v>10000</v>
      </c>
      <c r="H78" s="181">
        <v>10000.08</v>
      </c>
      <c r="I78" s="182">
        <v>10000</v>
      </c>
      <c r="J78" s="181">
        <v>10000</v>
      </c>
      <c r="K78" s="182">
        <v>10000</v>
      </c>
      <c r="L78" s="181">
        <v>10000</v>
      </c>
      <c r="M78" s="178">
        <v>10000</v>
      </c>
      <c r="N78" s="179">
        <v>9000</v>
      </c>
      <c r="O78" s="180">
        <v>9000</v>
      </c>
      <c r="P78" s="179">
        <v>9000</v>
      </c>
      <c r="Q78" s="178">
        <v>9000</v>
      </c>
      <c r="R78" s="177">
        <v>13135</v>
      </c>
      <c r="S78" s="176">
        <v>8200</v>
      </c>
      <c r="T78" s="175">
        <v>9103</v>
      </c>
      <c r="U78" s="176">
        <v>8200</v>
      </c>
      <c r="V78" s="175">
        <v>7991</v>
      </c>
      <c r="W78" s="173">
        <v>7300</v>
      </c>
      <c r="X78" s="174">
        <v>7891</v>
      </c>
      <c r="Y78" s="173">
        <v>7000</v>
      </c>
      <c r="Z78" s="174">
        <v>6896</v>
      </c>
      <c r="AA78" s="173">
        <v>7000</v>
      </c>
      <c r="AB78" s="172">
        <v>6354</v>
      </c>
      <c r="AC78" s="33">
        <v>7500</v>
      </c>
      <c r="AD78" s="34">
        <v>6600</v>
      </c>
      <c r="AE78" s="33">
        <v>6600</v>
      </c>
      <c r="AF78" s="34">
        <v>7627</v>
      </c>
      <c r="AG78" s="33">
        <v>6597</v>
      </c>
      <c r="AH78" s="34">
        <v>6178</v>
      </c>
      <c r="AI78" s="33">
        <v>6200</v>
      </c>
      <c r="AJ78" s="34">
        <v>6343</v>
      </c>
      <c r="AK78" s="33">
        <v>6200</v>
      </c>
      <c r="AL78" s="34">
        <v>5556</v>
      </c>
      <c r="AM78" s="34">
        <v>5824</v>
      </c>
      <c r="AN78" s="171"/>
    </row>
    <row r="79" spans="2:47" s="33" customFormat="1" ht="14" x14ac:dyDescent="0.2">
      <c r="B79" s="45" t="s">
        <v>43</v>
      </c>
      <c r="C79" s="45">
        <v>800</v>
      </c>
      <c r="D79" s="48"/>
      <c r="E79" s="182">
        <v>800</v>
      </c>
      <c r="F79" s="183">
        <v>828</v>
      </c>
      <c r="G79" s="182">
        <v>800</v>
      </c>
      <c r="H79" s="181">
        <v>723.05</v>
      </c>
      <c r="I79" s="182">
        <v>500</v>
      </c>
      <c r="J79" s="181">
        <v>671</v>
      </c>
      <c r="K79" s="182">
        <v>500</v>
      </c>
      <c r="L79" s="181">
        <v>239</v>
      </c>
      <c r="M79" s="178">
        <v>550</v>
      </c>
      <c r="N79" s="179">
        <v>251</v>
      </c>
      <c r="O79" s="180">
        <v>450</v>
      </c>
      <c r="P79" s="179">
        <v>574</v>
      </c>
      <c r="Q79" s="178">
        <v>200</v>
      </c>
      <c r="R79" s="177">
        <v>443</v>
      </c>
      <c r="S79" s="176">
        <v>100</v>
      </c>
      <c r="T79" s="175">
        <v>803</v>
      </c>
      <c r="U79" s="176">
        <v>100</v>
      </c>
      <c r="V79" s="175">
        <v>194</v>
      </c>
      <c r="W79" s="173">
        <v>100</v>
      </c>
      <c r="X79" s="174">
        <v>79</v>
      </c>
      <c r="Y79" s="173">
        <v>100</v>
      </c>
      <c r="Z79" s="174"/>
      <c r="AA79" s="173">
        <v>100</v>
      </c>
      <c r="AB79" s="172"/>
      <c r="AC79" s="33">
        <v>100</v>
      </c>
      <c r="AD79" s="34">
        <v>33.1</v>
      </c>
      <c r="AE79" s="33">
        <v>100</v>
      </c>
      <c r="AF79" s="34">
        <v>332</v>
      </c>
      <c r="AG79" s="33">
        <v>100</v>
      </c>
      <c r="AH79" s="34">
        <v>22.75</v>
      </c>
      <c r="AI79" s="33">
        <v>100</v>
      </c>
      <c r="AJ79" s="34"/>
      <c r="AK79" s="33">
        <v>100</v>
      </c>
      <c r="AL79" s="34"/>
      <c r="AM79" s="34">
        <v>16</v>
      </c>
      <c r="AN79" s="171"/>
    </row>
    <row r="80" spans="2:47" s="33" customFormat="1" ht="14" x14ac:dyDescent="0.2">
      <c r="B80" s="45" t="s">
        <v>42</v>
      </c>
      <c r="C80" s="45"/>
      <c r="D80" s="48"/>
      <c r="E80" s="182"/>
      <c r="F80" s="183"/>
      <c r="G80" s="182"/>
      <c r="H80" s="181"/>
      <c r="I80" s="182"/>
      <c r="J80" s="181"/>
      <c r="K80" s="182"/>
      <c r="L80" s="181"/>
      <c r="M80" s="178"/>
      <c r="N80" s="179"/>
      <c r="O80" s="180"/>
      <c r="P80" s="179"/>
      <c r="Q80" s="178"/>
      <c r="R80" s="177"/>
      <c r="S80" s="176"/>
      <c r="T80" s="175"/>
      <c r="U80" s="176"/>
      <c r="V80" s="175"/>
      <c r="W80" s="173"/>
      <c r="X80" s="174"/>
      <c r="Y80" s="173">
        <v>600</v>
      </c>
      <c r="Z80" s="174">
        <v>570</v>
      </c>
      <c r="AA80" s="173">
        <v>600</v>
      </c>
      <c r="AB80" s="172">
        <v>500</v>
      </c>
      <c r="AC80" s="33">
        <v>600</v>
      </c>
      <c r="AD80" s="34">
        <v>500</v>
      </c>
      <c r="AE80" s="33">
        <v>600</v>
      </c>
      <c r="AF80" s="34">
        <v>500</v>
      </c>
      <c r="AG80" s="33">
        <v>500</v>
      </c>
      <c r="AH80" s="34">
        <v>600</v>
      </c>
      <c r="AJ80" s="34">
        <v>554</v>
      </c>
      <c r="AK80" s="33">
        <v>275</v>
      </c>
      <c r="AL80" s="34">
        <v>275</v>
      </c>
      <c r="AM80" s="34">
        <v>275</v>
      </c>
      <c r="AN80" s="171"/>
    </row>
    <row r="81" spans="2:40" s="33" customFormat="1" ht="14" x14ac:dyDescent="0.2">
      <c r="B81" s="45" t="s">
        <v>41</v>
      </c>
      <c r="C81" s="45">
        <v>1500</v>
      </c>
      <c r="D81" s="48"/>
      <c r="E81" s="182">
        <v>1250</v>
      </c>
      <c r="F81" s="183">
        <v>1015</v>
      </c>
      <c r="G81" s="182">
        <v>1000</v>
      </c>
      <c r="H81" s="181">
        <v>1104.3800000000001</v>
      </c>
      <c r="I81" s="182">
        <v>800</v>
      </c>
      <c r="J81" s="181">
        <v>500</v>
      </c>
      <c r="K81" s="182">
        <v>1000</v>
      </c>
      <c r="L81" s="181">
        <v>480</v>
      </c>
      <c r="M81" s="178">
        <v>1000</v>
      </c>
      <c r="N81" s="179"/>
      <c r="O81" s="180"/>
      <c r="P81" s="179">
        <v>841</v>
      </c>
      <c r="Q81" s="178"/>
      <c r="R81" s="177"/>
      <c r="S81" s="176"/>
      <c r="T81" s="175"/>
      <c r="U81" s="176"/>
      <c r="V81" s="175"/>
      <c r="W81" s="173"/>
      <c r="X81" s="174"/>
      <c r="Y81" s="173"/>
      <c r="Z81" s="174"/>
      <c r="AA81" s="173"/>
      <c r="AB81" s="172"/>
      <c r="AD81" s="34"/>
      <c r="AF81" s="34"/>
      <c r="AH81" s="34"/>
      <c r="AJ81" s="34"/>
      <c r="AL81" s="34"/>
      <c r="AM81" s="34"/>
      <c r="AN81" s="171"/>
    </row>
    <row r="82" spans="2:40" s="33" customFormat="1" ht="14" x14ac:dyDescent="0.2">
      <c r="B82" s="45" t="s">
        <v>40</v>
      </c>
      <c r="C82" s="45"/>
      <c r="D82" s="48"/>
      <c r="E82" s="182"/>
      <c r="F82" s="183"/>
      <c r="G82" s="182"/>
      <c r="H82" s="181">
        <v>0</v>
      </c>
      <c r="I82" s="182">
        <v>50</v>
      </c>
      <c r="J82" s="181">
        <v>11</v>
      </c>
      <c r="K82" s="182"/>
      <c r="L82" s="181">
        <v>30</v>
      </c>
      <c r="M82" s="178"/>
      <c r="N82" s="179">
        <v>30</v>
      </c>
      <c r="O82" s="180">
        <v>30</v>
      </c>
      <c r="P82" s="179">
        <v>10</v>
      </c>
      <c r="Q82" s="178">
        <v>30</v>
      </c>
      <c r="R82" s="177">
        <v>32</v>
      </c>
      <c r="S82" s="176">
        <v>30</v>
      </c>
      <c r="T82" s="175">
        <v>50</v>
      </c>
      <c r="U82" s="176">
        <v>30</v>
      </c>
      <c r="V82" s="175">
        <v>-756</v>
      </c>
      <c r="W82" s="173">
        <v>30</v>
      </c>
      <c r="X82" s="174"/>
      <c r="Y82" s="173"/>
      <c r="Z82" s="174">
        <v>30</v>
      </c>
      <c r="AA82" s="173">
        <v>400</v>
      </c>
      <c r="AB82" s="172"/>
      <c r="AD82" s="34">
        <v>186</v>
      </c>
      <c r="AE82" s="33">
        <v>200</v>
      </c>
      <c r="AF82" s="34">
        <v>-1191</v>
      </c>
      <c r="AG82" s="33">
        <v>1629</v>
      </c>
      <c r="AH82" s="34">
        <v>5353</v>
      </c>
      <c r="AI82" s="33">
        <v>3000</v>
      </c>
      <c r="AJ82" s="34">
        <v>1582</v>
      </c>
      <c r="AK82" s="33">
        <v>3000</v>
      </c>
      <c r="AL82" s="34">
        <v>5942</v>
      </c>
      <c r="AM82" s="34">
        <v>2858</v>
      </c>
      <c r="AN82" s="171"/>
    </row>
    <row r="83" spans="2:40" s="33" customFormat="1" ht="14" x14ac:dyDescent="0.2">
      <c r="B83" s="45" t="s">
        <v>39</v>
      </c>
      <c r="C83" s="45"/>
      <c r="D83" s="48"/>
      <c r="E83" s="182"/>
      <c r="F83" s="183"/>
      <c r="G83" s="182"/>
      <c r="H83" s="181"/>
      <c r="I83" s="182"/>
      <c r="J83" s="181"/>
      <c r="K83" s="182"/>
      <c r="L83" s="181"/>
      <c r="M83" s="178">
        <v>100</v>
      </c>
      <c r="N83" s="179"/>
      <c r="O83" s="180">
        <v>100</v>
      </c>
      <c r="P83" s="179"/>
      <c r="Q83" s="178">
        <v>100</v>
      </c>
      <c r="R83" s="177"/>
      <c r="S83" s="176">
        <v>100</v>
      </c>
      <c r="T83" s="175">
        <v>50</v>
      </c>
      <c r="U83" s="176">
        <v>100</v>
      </c>
      <c r="V83" s="175"/>
      <c r="W83" s="173">
        <v>100</v>
      </c>
      <c r="X83" s="174"/>
      <c r="Y83" s="173">
        <v>100</v>
      </c>
      <c r="Z83" s="174">
        <v>102</v>
      </c>
      <c r="AA83" s="173">
        <v>100</v>
      </c>
      <c r="AB83" s="172"/>
      <c r="AD83" s="34">
        <v>50</v>
      </c>
      <c r="AF83" s="34"/>
      <c r="AH83" s="34"/>
      <c r="AJ83" s="34"/>
      <c r="AL83" s="34"/>
      <c r="AM83" s="34"/>
      <c r="AN83" s="171"/>
    </row>
    <row r="84" spans="2:40" s="33" customFormat="1" ht="14" x14ac:dyDescent="0.2">
      <c r="B84" s="45" t="s">
        <v>38</v>
      </c>
      <c r="C84" s="45">
        <f>E84*E84/F84</f>
        <v>41205.341855952516</v>
      </c>
      <c r="D84" s="48">
        <v>37902</v>
      </c>
      <c r="E84" s="182">
        <v>38000</v>
      </c>
      <c r="F84" s="183">
        <v>35044</v>
      </c>
      <c r="G84" s="182">
        <v>35044</v>
      </c>
      <c r="H84" s="181">
        <v>28651</v>
      </c>
      <c r="I84" s="182">
        <v>30000</v>
      </c>
      <c r="J84" s="181">
        <v>26917</v>
      </c>
      <c r="K84" s="182">
        <v>24752</v>
      </c>
      <c r="L84" s="181">
        <v>24752</v>
      </c>
      <c r="M84" s="178">
        <v>24000</v>
      </c>
      <c r="N84" s="179">
        <v>24060</v>
      </c>
      <c r="O84" s="180">
        <v>26544</v>
      </c>
      <c r="P84" s="179">
        <v>23315</v>
      </c>
      <c r="Q84" s="178">
        <v>21000</v>
      </c>
      <c r="R84" s="177">
        <v>22803</v>
      </c>
      <c r="S84" s="176">
        <v>19000</v>
      </c>
      <c r="T84" s="175">
        <v>20645</v>
      </c>
      <c r="U84" s="176">
        <v>19000</v>
      </c>
      <c r="V84" s="175">
        <v>19241</v>
      </c>
      <c r="W84" s="173">
        <v>19000</v>
      </c>
      <c r="X84" s="174">
        <v>18944</v>
      </c>
      <c r="Y84" s="173">
        <v>19000</v>
      </c>
      <c r="Z84" s="174">
        <v>17442</v>
      </c>
      <c r="AA84" s="173">
        <v>19000</v>
      </c>
      <c r="AB84" s="172">
        <v>18073.080000000002</v>
      </c>
      <c r="AC84" s="33">
        <v>21000</v>
      </c>
      <c r="AD84" s="34">
        <v>15385.92</v>
      </c>
      <c r="AE84" s="33">
        <v>21000</v>
      </c>
      <c r="AF84" s="34">
        <v>14097</v>
      </c>
      <c r="AG84" s="33">
        <v>19000</v>
      </c>
      <c r="AH84" s="34">
        <v>20596.509999999998</v>
      </c>
      <c r="AI84" s="33">
        <v>26000</v>
      </c>
      <c r="AJ84" s="34">
        <v>23172.98</v>
      </c>
      <c r="AK84" s="33">
        <v>26000</v>
      </c>
      <c r="AL84" s="34">
        <v>23419.9</v>
      </c>
      <c r="AM84" s="34">
        <v>24011</v>
      </c>
      <c r="AN84" s="171"/>
    </row>
    <row r="85" spans="2:40" s="33" customFormat="1" ht="14" x14ac:dyDescent="0.2">
      <c r="B85" s="45" t="s">
        <v>37</v>
      </c>
      <c r="C85" s="45"/>
      <c r="D85" s="48"/>
      <c r="E85" s="182"/>
      <c r="F85" s="183"/>
      <c r="G85" s="182"/>
      <c r="H85" s="181">
        <v>200</v>
      </c>
      <c r="I85" s="182"/>
      <c r="J85" s="181"/>
      <c r="K85" s="182"/>
      <c r="L85" s="181">
        <v>300</v>
      </c>
      <c r="M85" s="178"/>
      <c r="N85" s="179"/>
      <c r="O85" s="180"/>
      <c r="P85" s="179"/>
      <c r="Q85" s="178"/>
      <c r="R85" s="177"/>
      <c r="S85" s="176"/>
      <c r="T85" s="175"/>
      <c r="U85" s="176"/>
      <c r="V85" s="175"/>
      <c r="W85" s="173"/>
      <c r="X85" s="174"/>
      <c r="Y85" s="173"/>
      <c r="Z85" s="174"/>
      <c r="AA85" s="173"/>
      <c r="AB85" s="172"/>
      <c r="AD85" s="34"/>
      <c r="AF85" s="34">
        <v>53</v>
      </c>
      <c r="AH85" s="34">
        <v>61.66</v>
      </c>
      <c r="AI85" s="33">
        <v>0</v>
      </c>
      <c r="AJ85" s="34">
        <v>39.11</v>
      </c>
      <c r="AK85" s="33">
        <v>0</v>
      </c>
      <c r="AL85" s="34">
        <v>35</v>
      </c>
      <c r="AM85" s="34">
        <v>0</v>
      </c>
      <c r="AN85" s="171"/>
    </row>
    <row r="86" spans="2:40" s="33" customFormat="1" ht="14" x14ac:dyDescent="0.2">
      <c r="B86" s="45" t="s">
        <v>36</v>
      </c>
      <c r="C86" s="45"/>
      <c r="D86" s="48"/>
      <c r="E86" s="182"/>
      <c r="F86" s="183"/>
      <c r="G86" s="182"/>
      <c r="H86" s="181"/>
      <c r="I86" s="182"/>
      <c r="J86" s="181"/>
      <c r="K86" s="182"/>
      <c r="L86" s="181"/>
      <c r="M86" s="178"/>
      <c r="N86" s="179"/>
      <c r="O86" s="180"/>
      <c r="P86" s="179"/>
      <c r="Q86" s="178"/>
      <c r="R86" s="177"/>
      <c r="S86" s="176"/>
      <c r="T86" s="175"/>
      <c r="U86" s="176"/>
      <c r="V86" s="175"/>
      <c r="W86" s="173"/>
      <c r="X86" s="174"/>
      <c r="Y86" s="173"/>
      <c r="Z86" s="174"/>
      <c r="AA86" s="173"/>
      <c r="AB86" s="172"/>
      <c r="AD86" s="34"/>
      <c r="AF86" s="34"/>
      <c r="AH86" s="34"/>
      <c r="AJ86" s="34"/>
      <c r="AL86" s="34"/>
      <c r="AM86" s="34"/>
      <c r="AN86" s="171"/>
    </row>
    <row r="87" spans="2:40" s="33" customFormat="1" ht="14" x14ac:dyDescent="0.2">
      <c r="B87" s="45" t="s">
        <v>35</v>
      </c>
      <c r="C87" s="45">
        <v>1500</v>
      </c>
      <c r="D87" s="48"/>
      <c r="E87" s="182">
        <v>1500</v>
      </c>
      <c r="F87" s="183">
        <v>1679</v>
      </c>
      <c r="G87" s="182">
        <v>1000</v>
      </c>
      <c r="H87" s="181">
        <v>2860.28</v>
      </c>
      <c r="I87" s="182">
        <v>1000</v>
      </c>
      <c r="J87" s="181">
        <v>126</v>
      </c>
      <c r="K87" s="182">
        <v>1500</v>
      </c>
      <c r="L87" s="181">
        <v>189</v>
      </c>
      <c r="M87" s="178">
        <v>1000</v>
      </c>
      <c r="N87" s="179">
        <v>3025</v>
      </c>
      <c r="O87" s="180">
        <v>500</v>
      </c>
      <c r="P87" s="179">
        <v>1847</v>
      </c>
      <c r="Q87" s="178">
        <v>1000</v>
      </c>
      <c r="R87" s="177">
        <v>210</v>
      </c>
      <c r="S87" s="176">
        <v>1000</v>
      </c>
      <c r="T87" s="175"/>
      <c r="U87" s="176">
        <v>1000</v>
      </c>
      <c r="V87" s="175">
        <v>520</v>
      </c>
      <c r="W87" s="173">
        <v>3894</v>
      </c>
      <c r="X87" s="174"/>
      <c r="Y87" s="173">
        <v>7500</v>
      </c>
      <c r="Z87" s="174">
        <v>90</v>
      </c>
      <c r="AA87" s="173">
        <v>2000</v>
      </c>
      <c r="AB87" s="172">
        <v>4155</v>
      </c>
      <c r="AC87" s="33">
        <v>2000</v>
      </c>
      <c r="AD87" s="34">
        <v>792</v>
      </c>
      <c r="AE87" s="33">
        <v>400</v>
      </c>
      <c r="AF87" s="34">
        <v>2494</v>
      </c>
      <c r="AG87" s="33">
        <v>1000</v>
      </c>
      <c r="AH87" s="34"/>
      <c r="AI87" s="33">
        <v>1500</v>
      </c>
      <c r="AJ87" s="34">
        <v>450</v>
      </c>
      <c r="AK87" s="33">
        <v>1500</v>
      </c>
      <c r="AL87" s="34">
        <v>465</v>
      </c>
      <c r="AM87" s="34">
        <v>255</v>
      </c>
      <c r="AN87" s="171"/>
    </row>
    <row r="88" spans="2:40" s="33" customFormat="1" ht="14" x14ac:dyDescent="0.2">
      <c r="B88" s="45" t="s">
        <v>34</v>
      </c>
      <c r="C88" s="45">
        <v>1000</v>
      </c>
      <c r="D88" s="48"/>
      <c r="E88" s="182">
        <v>800</v>
      </c>
      <c r="F88" s="183">
        <v>64</v>
      </c>
      <c r="G88" s="182">
        <v>800</v>
      </c>
      <c r="H88" s="181"/>
      <c r="I88" s="182">
        <v>500</v>
      </c>
      <c r="J88" s="181">
        <v>250</v>
      </c>
      <c r="K88" s="182">
        <v>1500</v>
      </c>
      <c r="L88" s="181">
        <v>300</v>
      </c>
      <c r="M88" s="178">
        <v>1500</v>
      </c>
      <c r="N88" s="179">
        <v>1498</v>
      </c>
      <c r="O88" s="180">
        <v>1000</v>
      </c>
      <c r="P88" s="179">
        <v>1793</v>
      </c>
      <c r="Q88" s="178">
        <v>500</v>
      </c>
      <c r="R88" s="177">
        <v>1429</v>
      </c>
      <c r="S88" s="176"/>
      <c r="T88" s="175">
        <v>2086</v>
      </c>
      <c r="U88" s="176"/>
      <c r="V88" s="175"/>
      <c r="W88" s="173"/>
      <c r="X88" s="174"/>
      <c r="Y88" s="173">
        <v>500</v>
      </c>
      <c r="Z88" s="174"/>
      <c r="AA88" s="173">
        <v>500</v>
      </c>
      <c r="AB88" s="172"/>
      <c r="AC88" s="33">
        <v>500</v>
      </c>
      <c r="AD88" s="34">
        <v>2534</v>
      </c>
      <c r="AE88" s="33">
        <v>500</v>
      </c>
      <c r="AF88" s="34">
        <v>124</v>
      </c>
      <c r="AG88" s="33">
        <v>500</v>
      </c>
      <c r="AH88" s="34">
        <v>113</v>
      </c>
      <c r="AI88" s="33">
        <v>1000</v>
      </c>
      <c r="AJ88" s="34">
        <v>1879.66</v>
      </c>
      <c r="AK88" s="33">
        <v>1000</v>
      </c>
      <c r="AL88" s="34">
        <v>3449.92</v>
      </c>
      <c r="AM88" s="34">
        <v>290</v>
      </c>
      <c r="AN88" s="171"/>
    </row>
    <row r="89" spans="2:40" s="33" customFormat="1" ht="14" x14ac:dyDescent="0.2">
      <c r="B89" s="45" t="s">
        <v>33</v>
      </c>
      <c r="C89" s="45">
        <v>1000</v>
      </c>
      <c r="D89" s="48"/>
      <c r="E89" s="182">
        <v>500</v>
      </c>
      <c r="F89" s="183">
        <v>849</v>
      </c>
      <c r="G89" s="182">
        <v>300</v>
      </c>
      <c r="H89" s="181">
        <v>712.98</v>
      </c>
      <c r="I89" s="182">
        <v>500</v>
      </c>
      <c r="J89" s="181">
        <v>82</v>
      </c>
      <c r="K89" s="182">
        <v>1000</v>
      </c>
      <c r="L89" s="181">
        <v>215</v>
      </c>
      <c r="M89" s="178">
        <v>1000</v>
      </c>
      <c r="N89" s="179">
        <v>965</v>
      </c>
      <c r="O89" s="180">
        <v>950</v>
      </c>
      <c r="P89" s="179">
        <f>167+1268</f>
        <v>1435</v>
      </c>
      <c r="Q89" s="178">
        <v>1200</v>
      </c>
      <c r="R89" s="177">
        <v>220</v>
      </c>
      <c r="S89" s="176">
        <v>1200</v>
      </c>
      <c r="T89" s="175">
        <v>812</v>
      </c>
      <c r="U89" s="176">
        <v>1200</v>
      </c>
      <c r="V89" s="175">
        <v>2707</v>
      </c>
      <c r="W89" s="173">
        <v>1100</v>
      </c>
      <c r="X89" s="174">
        <v>913</v>
      </c>
      <c r="Y89" s="173">
        <v>1000</v>
      </c>
      <c r="Z89" s="174">
        <v>780</v>
      </c>
      <c r="AA89" s="173">
        <v>1000</v>
      </c>
      <c r="AB89" s="172">
        <v>272.11</v>
      </c>
      <c r="AC89" s="33">
        <v>750</v>
      </c>
      <c r="AD89" s="34">
        <v>947</v>
      </c>
      <c r="AE89" s="33">
        <v>750</v>
      </c>
      <c r="AF89" s="34">
        <v>440</v>
      </c>
      <c r="AG89" s="33">
        <v>600</v>
      </c>
      <c r="AH89" s="34">
        <v>767.39</v>
      </c>
      <c r="AI89" s="33">
        <v>500</v>
      </c>
      <c r="AJ89" s="34">
        <v>353.39</v>
      </c>
      <c r="AK89" s="33">
        <v>500</v>
      </c>
      <c r="AL89" s="34">
        <v>125.06</v>
      </c>
      <c r="AM89" s="34">
        <v>631</v>
      </c>
      <c r="AN89" s="171"/>
    </row>
    <row r="90" spans="2:40" s="33" customFormat="1" ht="14" x14ac:dyDescent="0.2">
      <c r="B90" s="45" t="s">
        <v>32</v>
      </c>
      <c r="C90" s="45"/>
      <c r="D90" s="48"/>
      <c r="E90" s="182">
        <v>350</v>
      </c>
      <c r="F90" s="183">
        <v>0</v>
      </c>
      <c r="G90" s="182">
        <v>200</v>
      </c>
      <c r="H90" s="181">
        <v>186.63</v>
      </c>
      <c r="I90" s="182"/>
      <c r="J90" s="181"/>
      <c r="K90" s="182"/>
      <c r="L90" s="181">
        <v>107</v>
      </c>
      <c r="M90" s="178">
        <v>300</v>
      </c>
      <c r="N90" s="179"/>
      <c r="O90" s="180"/>
      <c r="P90" s="179">
        <v>251</v>
      </c>
      <c r="Q90" s="178"/>
      <c r="R90" s="177"/>
      <c r="S90" s="176"/>
      <c r="T90" s="175"/>
      <c r="U90" s="176"/>
      <c r="V90" s="175"/>
      <c r="W90" s="173"/>
      <c r="X90" s="174"/>
      <c r="Y90" s="173"/>
      <c r="Z90" s="174"/>
      <c r="AA90" s="173"/>
      <c r="AB90" s="172"/>
      <c r="AD90" s="34"/>
      <c r="AF90" s="34"/>
      <c r="AH90" s="34"/>
      <c r="AJ90" s="34"/>
      <c r="AL90" s="34"/>
      <c r="AM90" s="34"/>
      <c r="AN90" s="171"/>
    </row>
    <row r="91" spans="2:40" s="33" customFormat="1" ht="14" x14ac:dyDescent="0.2">
      <c r="B91" s="45" t="s">
        <v>31</v>
      </c>
      <c r="C91" s="45">
        <v>200</v>
      </c>
      <c r="D91" s="48"/>
      <c r="E91" s="182">
        <v>500</v>
      </c>
      <c r="F91" s="183">
        <v>118</v>
      </c>
      <c r="G91" s="182">
        <v>500</v>
      </c>
      <c r="H91" s="181">
        <v>114.39</v>
      </c>
      <c r="I91" s="182">
        <v>200</v>
      </c>
      <c r="J91" s="181">
        <v>336</v>
      </c>
      <c r="K91" s="182"/>
      <c r="L91" s="181">
        <v>69</v>
      </c>
      <c r="M91" s="178">
        <v>400</v>
      </c>
      <c r="N91" s="179"/>
      <c r="O91" s="180"/>
      <c r="P91" s="179">
        <v>375</v>
      </c>
      <c r="Q91" s="178">
        <v>300</v>
      </c>
      <c r="R91" s="174"/>
      <c r="S91" s="176"/>
      <c r="T91" s="175">
        <v>321</v>
      </c>
      <c r="U91" s="176"/>
      <c r="V91" s="175"/>
      <c r="W91" s="173"/>
      <c r="X91" s="174"/>
      <c r="Y91" s="173"/>
      <c r="Z91" s="174"/>
      <c r="AA91" s="173"/>
      <c r="AB91" s="172"/>
      <c r="AD91" s="34"/>
      <c r="AF91" s="34"/>
      <c r="AH91" s="34"/>
      <c r="AJ91" s="34"/>
      <c r="AL91" s="34"/>
      <c r="AM91" s="34"/>
      <c r="AN91" s="171"/>
    </row>
    <row r="92" spans="2:40" s="33" customFormat="1" ht="14" x14ac:dyDescent="0.2">
      <c r="B92" s="45" t="s">
        <v>30</v>
      </c>
      <c r="C92" s="45">
        <v>1000</v>
      </c>
      <c r="D92" s="48"/>
      <c r="E92" s="182">
        <v>800</v>
      </c>
      <c r="F92" s="183">
        <v>799</v>
      </c>
      <c r="G92" s="182">
        <v>800</v>
      </c>
      <c r="H92" s="181">
        <f>188+357.68</f>
        <v>545.68000000000006</v>
      </c>
      <c r="I92" s="182">
        <v>650</v>
      </c>
      <c r="J92" s="181">
        <v>477</v>
      </c>
      <c r="K92" s="182"/>
      <c r="L92" s="181">
        <v>605</v>
      </c>
      <c r="M92" s="178">
        <v>400</v>
      </c>
      <c r="N92" s="179">
        <v>499</v>
      </c>
      <c r="O92" s="180">
        <v>300</v>
      </c>
      <c r="P92" s="179">
        <v>192</v>
      </c>
      <c r="Q92" s="178">
        <v>1000</v>
      </c>
      <c r="R92" s="177">
        <v>187</v>
      </c>
      <c r="S92" s="176">
        <v>800</v>
      </c>
      <c r="T92" s="175"/>
      <c r="U92" s="176">
        <v>1200</v>
      </c>
      <c r="V92" s="175">
        <v>492</v>
      </c>
      <c r="W92" s="173">
        <v>1000</v>
      </c>
      <c r="X92" s="174"/>
      <c r="Y92" s="173">
        <v>1000</v>
      </c>
      <c r="Z92" s="174">
        <v>835</v>
      </c>
      <c r="AA92" s="173">
        <v>1000</v>
      </c>
      <c r="AB92" s="172">
        <v>694.43</v>
      </c>
      <c r="AC92" s="33">
        <v>700</v>
      </c>
      <c r="AD92" s="34">
        <v>925</v>
      </c>
      <c r="AE92" s="33">
        <v>600</v>
      </c>
      <c r="AF92" s="34">
        <v>711</v>
      </c>
      <c r="AG92" s="33">
        <v>600</v>
      </c>
      <c r="AH92" s="34">
        <v>503.34</v>
      </c>
      <c r="AI92" s="33">
        <v>600</v>
      </c>
      <c r="AJ92" s="34">
        <v>501.92</v>
      </c>
      <c r="AK92" s="33">
        <v>600</v>
      </c>
      <c r="AL92" s="34">
        <v>590.25</v>
      </c>
      <c r="AM92" s="34">
        <v>503</v>
      </c>
      <c r="AN92" s="171"/>
    </row>
    <row r="93" spans="2:40" s="156" customFormat="1" ht="15" thickBot="1" x14ac:dyDescent="0.25">
      <c r="B93" s="170" t="s">
        <v>29</v>
      </c>
      <c r="C93" s="170">
        <v>500</v>
      </c>
      <c r="D93" s="169"/>
      <c r="E93" s="167"/>
      <c r="F93" s="168">
        <v>561</v>
      </c>
      <c r="G93" s="167"/>
      <c r="H93" s="166">
        <v>250</v>
      </c>
      <c r="I93" s="167"/>
      <c r="J93" s="166"/>
      <c r="K93" s="167"/>
      <c r="L93" s="166"/>
      <c r="M93" s="165"/>
      <c r="N93" s="163"/>
      <c r="O93" s="164"/>
      <c r="P93" s="163"/>
      <c r="Q93" s="162"/>
      <c r="R93" s="158"/>
      <c r="S93" s="161"/>
      <c r="T93" s="160"/>
      <c r="U93" s="161"/>
      <c r="V93" s="160"/>
      <c r="X93" s="158"/>
      <c r="Y93" s="156">
        <v>1500</v>
      </c>
      <c r="Z93" s="158">
        <v>858</v>
      </c>
      <c r="AA93" s="156">
        <v>1500</v>
      </c>
      <c r="AB93" s="159">
        <v>1431.12</v>
      </c>
      <c r="AC93" s="156">
        <v>1500</v>
      </c>
      <c r="AD93" s="158">
        <v>1431.12</v>
      </c>
      <c r="AE93" s="156">
        <v>1500</v>
      </c>
      <c r="AF93" s="158">
        <v>1431</v>
      </c>
      <c r="AG93" s="156">
        <v>1000</v>
      </c>
      <c r="AH93" s="158">
        <v>1431.18</v>
      </c>
      <c r="AI93" s="156">
        <v>1000</v>
      </c>
      <c r="AJ93" s="158">
        <v>1204.73</v>
      </c>
      <c r="AK93" s="156">
        <v>791</v>
      </c>
      <c r="AL93" s="158">
        <v>1005.79</v>
      </c>
      <c r="AM93" s="158">
        <v>797</v>
      </c>
      <c r="AN93" s="157"/>
    </row>
    <row r="94" spans="2:40" s="116" customFormat="1" ht="16" thickTop="1" thickBot="1" x14ac:dyDescent="0.25">
      <c r="B94" s="155" t="s">
        <v>28</v>
      </c>
      <c r="C94" s="125">
        <f>SUM(C78:C93)</f>
        <v>58705.341855952516</v>
      </c>
      <c r="D94" s="154"/>
      <c r="E94" s="125">
        <f>SUM(E78:E93)</f>
        <v>54500</v>
      </c>
      <c r="F94" s="154">
        <f>SUM(F78:F93)</f>
        <v>50957</v>
      </c>
      <c r="G94" s="125">
        <f>SUM(G78:G93)</f>
        <v>50444</v>
      </c>
      <c r="H94" s="125">
        <f>SUM(H78:H93)</f>
        <v>45348.469999999994</v>
      </c>
      <c r="I94" s="125">
        <f>SUM(I78:I93)</f>
        <v>44200</v>
      </c>
      <c r="J94" s="126">
        <f>SUM(J78:J93)</f>
        <v>39370</v>
      </c>
      <c r="K94" s="125">
        <f>SUM(K78:K93)</f>
        <v>40252</v>
      </c>
      <c r="L94" s="126">
        <f>SUM(L78:L93)</f>
        <v>37286</v>
      </c>
      <c r="M94" s="128">
        <f>SUM(M78:M93)</f>
        <v>40250</v>
      </c>
      <c r="N94" s="127">
        <f>SUM(N78:N92)</f>
        <v>39328</v>
      </c>
      <c r="O94" s="125">
        <f>SUM(O78:O93)</f>
        <v>38874</v>
      </c>
      <c r="P94" s="126">
        <f>SUM(P78:P92)</f>
        <v>39633</v>
      </c>
      <c r="Q94" s="125">
        <f>SUM(Q78:Q92)</f>
        <v>34330</v>
      </c>
      <c r="R94" s="153">
        <f>SUM(R78:R92)</f>
        <v>38459</v>
      </c>
      <c r="S94" s="118">
        <f>SUM(S78:S93)</f>
        <v>30430</v>
      </c>
      <c r="T94" s="117">
        <f>SUM(T78:T93)</f>
        <v>33870</v>
      </c>
      <c r="U94" s="118">
        <f>SUM(U78:U93)</f>
        <v>30830</v>
      </c>
      <c r="V94" s="117">
        <f>SUM(V78:V93)</f>
        <v>30389</v>
      </c>
      <c r="W94" s="118">
        <f>SUM(W78:W93)</f>
        <v>32524</v>
      </c>
      <c r="X94" s="117">
        <f>SUM(X78:X93)</f>
        <v>27827</v>
      </c>
      <c r="Y94" s="118">
        <f>SUM(Y78:Y93)</f>
        <v>38300</v>
      </c>
      <c r="Z94" s="117">
        <f>SUM(Z78:Z93)</f>
        <v>27603</v>
      </c>
      <c r="AA94" s="118">
        <f>SUM(AA78:AA93)</f>
        <v>33200</v>
      </c>
      <c r="AB94" s="117">
        <f>SUM(AB78:AB93)</f>
        <v>31479.74</v>
      </c>
      <c r="AC94" s="116">
        <f>SUM(AC78:AC93)</f>
        <v>34650</v>
      </c>
      <c r="AD94" s="115">
        <f>SUM(AD78:AD93)</f>
        <v>29384.14</v>
      </c>
      <c r="AE94" s="116">
        <f>SUM(AE78:AE93)</f>
        <v>32250</v>
      </c>
      <c r="AF94" s="115">
        <f>SUM(AF78:AF93)</f>
        <v>26618</v>
      </c>
      <c r="AG94" s="116">
        <f>SUM(AG78:AG93)</f>
        <v>31526</v>
      </c>
      <c r="AH94" s="115">
        <f>SUM(AH78:AH93)</f>
        <v>35626.829999999994</v>
      </c>
      <c r="AI94" s="116">
        <f>SUM(AI78:AI93)</f>
        <v>39900</v>
      </c>
      <c r="AJ94" s="115">
        <f>SUM(AJ78:AJ93)</f>
        <v>36080.79</v>
      </c>
      <c r="AK94" s="116">
        <f>SUM(AK78:AK93)</f>
        <v>39966</v>
      </c>
      <c r="AL94" s="115">
        <f>SUM(AL78:AL93)</f>
        <v>40863.919999999998</v>
      </c>
      <c r="AM94" s="115">
        <f>SUM(AM78:AM93)</f>
        <v>35460</v>
      </c>
      <c r="AN94" s="134"/>
    </row>
    <row r="95" spans="2:40" s="141" customFormat="1" ht="15" thickTop="1" thickBot="1" x14ac:dyDescent="0.25">
      <c r="B95" s="152"/>
      <c r="C95" s="152"/>
      <c r="D95" s="151"/>
      <c r="E95" s="148"/>
      <c r="F95" s="150"/>
      <c r="G95" s="148"/>
      <c r="H95" s="149"/>
      <c r="I95" s="148"/>
      <c r="J95" s="149"/>
      <c r="K95" s="148"/>
      <c r="L95" s="149"/>
      <c r="M95" s="128"/>
      <c r="N95" s="127"/>
      <c r="O95" s="148"/>
      <c r="P95" s="147"/>
      <c r="Q95" s="146"/>
      <c r="R95" s="144"/>
      <c r="S95" s="145"/>
      <c r="T95" s="144"/>
      <c r="U95" s="145"/>
      <c r="V95" s="144"/>
      <c r="W95" s="145"/>
      <c r="X95" s="144"/>
      <c r="Y95" s="145"/>
      <c r="Z95" s="144"/>
      <c r="AA95" s="145"/>
      <c r="AB95" s="144"/>
      <c r="AC95" s="143"/>
      <c r="AD95" s="142"/>
      <c r="AE95" s="143"/>
      <c r="AF95" s="142"/>
      <c r="AG95" s="143"/>
      <c r="AH95" s="142"/>
      <c r="AI95" s="143"/>
      <c r="AJ95" s="142"/>
      <c r="AK95" s="143"/>
      <c r="AL95" s="142"/>
      <c r="AM95" s="142"/>
    </row>
    <row r="96" spans="2:40" s="116" customFormat="1" ht="17" thickTop="1" thickBot="1" x14ac:dyDescent="0.25">
      <c r="B96" s="138" t="s">
        <v>27</v>
      </c>
      <c r="C96" s="120">
        <f>SUM(C48,C63,C75,C94)</f>
        <v>379071.04185595253</v>
      </c>
      <c r="D96" s="121"/>
      <c r="E96" s="120">
        <f>SUM(E48,E63,E75,E94)</f>
        <v>366379</v>
      </c>
      <c r="F96" s="121">
        <f>SUM(F48,F63,F75,F94)</f>
        <v>366044</v>
      </c>
      <c r="G96" s="120">
        <f>SUM(G48,G63,G75,G94)</f>
        <v>342209</v>
      </c>
      <c r="H96" s="120">
        <f>SUM(H48,H63,H75,H94)</f>
        <v>340218.11</v>
      </c>
      <c r="I96" s="120">
        <f>SUM(I48,I63,I75,I94)</f>
        <v>371790</v>
      </c>
      <c r="J96" s="119">
        <f>SUM(J48,J63,J75,J94)</f>
        <v>324336</v>
      </c>
      <c r="K96" s="120">
        <f>SUM(K48,K63,K75,K94)</f>
        <v>373312</v>
      </c>
      <c r="L96" s="119">
        <f>SUM(L48,L63,L75,L94)</f>
        <v>359645</v>
      </c>
      <c r="M96" s="128">
        <f>SUM(M48,M63,M75,M94)</f>
        <v>371450</v>
      </c>
      <c r="N96" s="127">
        <f>SUM(N48,N63,N75,N94)</f>
        <v>297420</v>
      </c>
      <c r="O96" s="125">
        <f>O94+O75+O63+O48</f>
        <v>349691</v>
      </c>
      <c r="P96" s="126">
        <f>SUM(P48,P63,P75,P94)</f>
        <v>345349</v>
      </c>
      <c r="Q96" s="125">
        <f>SUM(Q48,Q63,Q75,Q94)</f>
        <v>339420</v>
      </c>
      <c r="R96" s="117">
        <f>SUM(R48,R63,R75,R94)</f>
        <v>298261</v>
      </c>
      <c r="S96" s="118">
        <f>SUM(S48,S63,S75,S94)</f>
        <v>333388</v>
      </c>
      <c r="T96" s="117">
        <f>SUM(T48,T63,T75,T94)</f>
        <v>284304</v>
      </c>
      <c r="U96" s="118">
        <f>SUM(U48,U63,U75,U94)</f>
        <v>324736</v>
      </c>
      <c r="V96" s="117">
        <f>SUM(V48,V63,V75,V94)</f>
        <v>287311</v>
      </c>
      <c r="W96" s="118">
        <f>SUM(W48,W63,W75,W94)</f>
        <v>316924</v>
      </c>
      <c r="X96" s="117">
        <f>SUM(X48,X63,X75,X94)</f>
        <v>281366</v>
      </c>
      <c r="Y96" s="118">
        <f>SUM(Y48,Y63,Y75,Y94)</f>
        <v>309132</v>
      </c>
      <c r="Z96" s="117">
        <f>SUM(Z48,Z63,Z75,Z94)</f>
        <v>287730</v>
      </c>
      <c r="AA96" s="118">
        <f>SUM(AA48,AA63,AA75,AA94)</f>
        <v>301608</v>
      </c>
      <c r="AB96" s="117">
        <f>SUM(AB48,AB63,AB75,AB94)</f>
        <v>288127.69</v>
      </c>
      <c r="AC96" s="116">
        <f>SUM(AC48,AC63,AC75,AC94)</f>
        <v>292694</v>
      </c>
      <c r="AD96" s="115">
        <f>SUM(AD48,AD63,AD75,AD94)</f>
        <v>263678.66000000003</v>
      </c>
      <c r="AE96" s="116">
        <f>SUM(AE48,AE63,AE75,AE94)</f>
        <v>277308</v>
      </c>
      <c r="AF96" s="115">
        <f>SUM(AF48,AF63,AF75,AF94)</f>
        <v>264082</v>
      </c>
      <c r="AG96" s="116">
        <f>SUM(AG48,AG63,AG75,AG94)</f>
        <v>271582</v>
      </c>
      <c r="AH96" s="115">
        <f>SUM(AH48,AH63,AH75,AH94)</f>
        <v>265534.43</v>
      </c>
      <c r="AI96" s="116">
        <f>SUM(AI48,AI63,AI75,AI94)</f>
        <v>262900</v>
      </c>
      <c r="AJ96" s="115">
        <f>SUM(AJ48,AJ63,AJ75,AJ94)</f>
        <v>243601.03</v>
      </c>
      <c r="AK96" s="116">
        <f>SUM(AK48,AK63,AK75,AK94)</f>
        <v>246566</v>
      </c>
      <c r="AL96" s="115">
        <f>SUM(AL48,AL63,AL75,AL94)</f>
        <v>245299.61</v>
      </c>
      <c r="AM96" s="115">
        <f>SUM(AM48,AM63,AM75,AM94)</f>
        <v>206613</v>
      </c>
      <c r="AN96" s="134"/>
    </row>
    <row r="97" spans="1:40" s="124" customFormat="1" ht="15" thickTop="1" thickBot="1" x14ac:dyDescent="0.25">
      <c r="B97" s="140"/>
      <c r="C97" s="140"/>
      <c r="D97" s="139"/>
      <c r="E97" s="130"/>
      <c r="F97" s="131"/>
      <c r="G97" s="130"/>
      <c r="H97" s="129"/>
      <c r="I97" s="130"/>
      <c r="J97" s="129"/>
      <c r="K97" s="130"/>
      <c r="L97" s="129"/>
      <c r="M97" s="128"/>
      <c r="N97" s="127"/>
      <c r="O97" s="125"/>
      <c r="P97" s="126"/>
      <c r="Q97" s="125"/>
      <c r="R97" s="117"/>
      <c r="S97" s="118"/>
      <c r="T97" s="117"/>
      <c r="U97" s="118"/>
      <c r="V97" s="117"/>
      <c r="W97" s="118"/>
      <c r="X97" s="117"/>
      <c r="Y97" s="118"/>
      <c r="Z97" s="117"/>
      <c r="AA97" s="118"/>
      <c r="AB97" s="117"/>
      <c r="AC97" s="116"/>
      <c r="AD97" s="115"/>
      <c r="AE97" s="116"/>
      <c r="AF97" s="115"/>
      <c r="AG97" s="116"/>
      <c r="AH97" s="115"/>
      <c r="AI97" s="116"/>
      <c r="AJ97" s="115"/>
      <c r="AK97" s="116"/>
      <c r="AL97" s="115"/>
      <c r="AM97" s="115"/>
    </row>
    <row r="98" spans="1:40" s="116" customFormat="1" ht="17" thickTop="1" thickBot="1" x14ac:dyDescent="0.25">
      <c r="A98" s="134"/>
      <c r="B98" s="138" t="s">
        <v>26</v>
      </c>
      <c r="C98" s="138">
        <f>C38</f>
        <v>373164</v>
      </c>
      <c r="D98" s="137"/>
      <c r="E98" s="120">
        <f>E38</f>
        <v>361224</v>
      </c>
      <c r="F98" s="121">
        <f>F38</f>
        <v>350988</v>
      </c>
      <c r="G98" s="120">
        <f>G38</f>
        <v>351744</v>
      </c>
      <c r="H98" s="120">
        <f>H38</f>
        <v>372979</v>
      </c>
      <c r="I98" s="120">
        <f>I38</f>
        <v>371704</v>
      </c>
      <c r="J98" s="119">
        <f>J38</f>
        <v>378841</v>
      </c>
      <c r="K98" s="120">
        <f>K38</f>
        <v>375496</v>
      </c>
      <c r="L98" s="119">
        <v>381329</v>
      </c>
      <c r="M98" s="136">
        <f>SUM(M4:M37)</f>
        <v>383080</v>
      </c>
      <c r="N98" s="135">
        <f>N38</f>
        <v>357020</v>
      </c>
      <c r="O98" s="125">
        <f>SUM(O4:O37)</f>
        <v>349900</v>
      </c>
      <c r="P98" s="126">
        <f>SUM(P7:P37)</f>
        <v>344025</v>
      </c>
      <c r="Q98" s="125">
        <f>SUM(Q4:Q37)</f>
        <v>339420</v>
      </c>
      <c r="R98" s="126">
        <f>SUM(R4:R37)</f>
        <v>330742.5</v>
      </c>
      <c r="S98" s="125">
        <f>SUM(S4:S37)</f>
        <v>333388</v>
      </c>
      <c r="T98" s="126">
        <f>SUM(T4:T37)</f>
        <v>325370</v>
      </c>
      <c r="U98" s="125">
        <f>SUM(U4:U37)</f>
        <v>324736</v>
      </c>
      <c r="V98" s="126">
        <f>SUM(V4:V37)</f>
        <v>319566</v>
      </c>
      <c r="W98" s="125">
        <f>SUM(W4:W37)</f>
        <v>316924</v>
      </c>
      <c r="X98" s="126">
        <f>SUM(X4:X37)</f>
        <v>310960</v>
      </c>
      <c r="Y98" s="125">
        <f>SUM(Y4:Y37)</f>
        <v>309232</v>
      </c>
      <c r="Z98" s="126">
        <f>SUM(Z4:Z37)</f>
        <v>303117</v>
      </c>
      <c r="AA98" s="125">
        <f>SUM(AA4:AA37)</f>
        <v>301708</v>
      </c>
      <c r="AB98" s="126">
        <f>SUM(AB4:AB37)</f>
        <v>278111</v>
      </c>
      <c r="AC98" s="116">
        <f>SUM(AC86:AC97)</f>
        <v>332794</v>
      </c>
      <c r="AD98" s="115">
        <f>SUM(AD86:AD97)</f>
        <v>299691.92000000004</v>
      </c>
      <c r="AE98" s="116">
        <f>SUM(AE86:AE97)</f>
        <v>313308</v>
      </c>
      <c r="AF98" s="115">
        <f>SUM(AF86:AF97)</f>
        <v>295900</v>
      </c>
      <c r="AG98" s="116">
        <f>SUM(AG86:AG97)</f>
        <v>306808</v>
      </c>
      <c r="AH98" s="115">
        <f>SUM(AH86:AH97)</f>
        <v>303976.17</v>
      </c>
      <c r="AI98" s="116">
        <f>SUM(AI86:AI97)</f>
        <v>307400</v>
      </c>
      <c r="AJ98" s="115">
        <f>SUM(AJ86:AJ97)</f>
        <v>284071.52</v>
      </c>
      <c r="AK98" s="116">
        <f>SUM(AK86:AK97)</f>
        <v>290923</v>
      </c>
      <c r="AL98" s="115">
        <f>SUM(AL86:AL97)</f>
        <v>291799.55</v>
      </c>
      <c r="AM98" s="115">
        <f>SUM(AM86:AM97)</f>
        <v>244549</v>
      </c>
      <c r="AN98" s="134"/>
    </row>
    <row r="99" spans="1:40" s="124" customFormat="1" ht="15" thickTop="1" thickBot="1" x14ac:dyDescent="0.25">
      <c r="B99" s="133"/>
      <c r="C99" s="133"/>
      <c r="D99" s="132"/>
      <c r="E99" s="130"/>
      <c r="F99" s="131"/>
      <c r="G99" s="130"/>
      <c r="H99" s="129"/>
      <c r="I99" s="130"/>
      <c r="J99" s="129"/>
      <c r="K99" s="130"/>
      <c r="L99" s="129"/>
      <c r="M99" s="128"/>
      <c r="N99" s="127"/>
      <c r="O99" s="125"/>
      <c r="P99" s="126"/>
      <c r="Q99" s="125"/>
      <c r="R99" s="117"/>
      <c r="S99" s="118"/>
      <c r="T99" s="117"/>
      <c r="U99" s="118"/>
      <c r="V99" s="117"/>
      <c r="W99" s="118"/>
      <c r="X99" s="117"/>
      <c r="Y99" s="118"/>
      <c r="Z99" s="117"/>
      <c r="AA99" s="118"/>
      <c r="AB99" s="117"/>
      <c r="AC99" s="116"/>
      <c r="AD99" s="115"/>
      <c r="AE99" s="116"/>
      <c r="AF99" s="115"/>
      <c r="AG99" s="116"/>
      <c r="AH99" s="115"/>
      <c r="AI99" s="116"/>
      <c r="AJ99" s="115"/>
      <c r="AK99" s="116"/>
      <c r="AL99" s="115"/>
      <c r="AM99" s="115"/>
    </row>
    <row r="100" spans="1:40" s="113" customFormat="1" ht="17" thickTop="1" thickBot="1" x14ac:dyDescent="0.25">
      <c r="B100" s="123" t="s">
        <v>25</v>
      </c>
      <c r="C100" s="123">
        <f>C98-C96</f>
        <v>-5907.0418559525278</v>
      </c>
      <c r="D100" s="122"/>
      <c r="E100" s="120">
        <f>E98-E96</f>
        <v>-5155</v>
      </c>
      <c r="F100" s="121">
        <f>F98-F96</f>
        <v>-15056</v>
      </c>
      <c r="G100" s="120">
        <f>G98-G96</f>
        <v>9535</v>
      </c>
      <c r="H100" s="120">
        <f>H98-H96</f>
        <v>32760.890000000014</v>
      </c>
      <c r="I100" s="120">
        <f>I98-I96</f>
        <v>-86</v>
      </c>
      <c r="J100" s="119">
        <f>J98-J96</f>
        <v>54505</v>
      </c>
      <c r="K100" s="120">
        <f>K98-K96</f>
        <v>2184</v>
      </c>
      <c r="L100" s="119">
        <f>L98-L96</f>
        <v>21684</v>
      </c>
      <c r="M100" s="116">
        <f>M98-M96</f>
        <v>11630</v>
      </c>
      <c r="N100" s="115">
        <f>N98-N96</f>
        <v>59600</v>
      </c>
      <c r="O100" s="118">
        <f>O98-O96</f>
        <v>209</v>
      </c>
      <c r="P100" s="117">
        <f>P98-P96</f>
        <v>-1324</v>
      </c>
      <c r="Q100" s="118">
        <f>Q98-Q96</f>
        <v>0</v>
      </c>
      <c r="R100" s="117">
        <f>R98-R96</f>
        <v>32481.5</v>
      </c>
      <c r="S100" s="118">
        <f>S98-S96</f>
        <v>0</v>
      </c>
      <c r="T100" s="117">
        <f>T98-T96</f>
        <v>41066</v>
      </c>
      <c r="U100" s="118">
        <f>U98-U96</f>
        <v>0</v>
      </c>
      <c r="V100" s="117">
        <f>V98-V96</f>
        <v>32255</v>
      </c>
      <c r="W100" s="118">
        <f>W98-W96</f>
        <v>0</v>
      </c>
      <c r="X100" s="117">
        <f>X98-X96</f>
        <v>29594</v>
      </c>
      <c r="Y100" s="118">
        <f>Y98-Y96</f>
        <v>100</v>
      </c>
      <c r="Z100" s="117">
        <f>Z98-Z96</f>
        <v>15387</v>
      </c>
      <c r="AA100" s="118">
        <f>AA98-AA96</f>
        <v>100</v>
      </c>
      <c r="AB100" s="117">
        <f>AB98-AB96</f>
        <v>-10016.690000000002</v>
      </c>
      <c r="AC100" s="116" t="e">
        <f>#REF!-#REF!</f>
        <v>#REF!</v>
      </c>
      <c r="AD100" s="115" t="e">
        <f>#REF!-#REF!</f>
        <v>#REF!</v>
      </c>
      <c r="AE100" s="116" t="e">
        <f>#REF!-#REF!</f>
        <v>#REF!</v>
      </c>
      <c r="AF100" s="115" t="e">
        <f>#REF!-#REF!</f>
        <v>#REF!</v>
      </c>
      <c r="AG100" s="116" t="e">
        <f>#REF!-#REF!</f>
        <v>#REF!</v>
      </c>
      <c r="AH100" s="115" t="e">
        <f>#REF!-#REF!</f>
        <v>#REF!</v>
      </c>
      <c r="AI100" s="116" t="e">
        <f>#REF!-#REF!</f>
        <v>#REF!</v>
      </c>
      <c r="AJ100" s="115" t="e">
        <f>#REF!-#REF!</f>
        <v>#REF!</v>
      </c>
      <c r="AK100" s="116" t="e">
        <f>#REF!-#REF!</f>
        <v>#REF!</v>
      </c>
      <c r="AL100" s="115" t="e">
        <f>#REF!-#REF!</f>
        <v>#REF!</v>
      </c>
      <c r="AM100" s="115" t="e">
        <f>#REF!-#REF!</f>
        <v>#REF!</v>
      </c>
      <c r="AN100" s="114"/>
    </row>
    <row r="101" spans="1:40" s="98" customFormat="1" ht="14" thickTop="1" x14ac:dyDescent="0.2">
      <c r="B101" s="110"/>
      <c r="C101" s="110"/>
      <c r="D101" s="109"/>
      <c r="E101" s="112"/>
      <c r="F101" s="111"/>
      <c r="G101" s="102"/>
      <c r="H101" s="105"/>
      <c r="I101" s="102"/>
      <c r="J101" s="105"/>
      <c r="K101" s="102"/>
      <c r="L101" s="105"/>
      <c r="M101" s="104"/>
      <c r="N101" s="103"/>
      <c r="O101" s="102"/>
      <c r="P101" s="101"/>
      <c r="Q101" s="100"/>
      <c r="R101" s="99"/>
      <c r="T101" s="99"/>
      <c r="V101" s="99"/>
      <c r="X101" s="99"/>
      <c r="Z101" s="99"/>
      <c r="AB101" s="99"/>
      <c r="AD101" s="99"/>
      <c r="AF101" s="99"/>
      <c r="AH101" s="99"/>
      <c r="AJ101" s="99"/>
      <c r="AL101" s="99"/>
      <c r="AM101" s="99"/>
    </row>
    <row r="102" spans="1:40" s="98" customFormat="1" ht="1.25" customHeight="1" thickBot="1" x14ac:dyDescent="0.25">
      <c r="B102" s="110"/>
      <c r="C102" s="110"/>
      <c r="D102" s="109"/>
      <c r="E102" s="108"/>
      <c r="F102" s="107"/>
      <c r="G102" s="106"/>
      <c r="H102" s="105"/>
      <c r="I102" s="102"/>
      <c r="J102" s="105"/>
      <c r="K102" s="102"/>
      <c r="L102" s="105"/>
      <c r="M102" s="104"/>
      <c r="N102" s="103"/>
      <c r="O102" s="102"/>
      <c r="P102" s="101"/>
      <c r="Q102" s="100"/>
      <c r="R102" s="99"/>
      <c r="T102" s="99"/>
      <c r="V102" s="99"/>
      <c r="X102" s="99"/>
      <c r="Z102" s="99"/>
      <c r="AB102" s="99"/>
      <c r="AD102" s="99"/>
      <c r="AF102" s="99"/>
      <c r="AH102" s="99"/>
      <c r="AJ102" s="99"/>
      <c r="AL102" s="99"/>
      <c r="AM102" s="99"/>
    </row>
    <row r="103" spans="1:40" s="98" customFormat="1" ht="14" hidden="1" thickBot="1" x14ac:dyDescent="0.25">
      <c r="B103" s="110"/>
      <c r="C103" s="110"/>
      <c r="D103" s="109"/>
      <c r="E103" s="108"/>
      <c r="F103" s="107"/>
      <c r="G103" s="106"/>
      <c r="H103" s="105"/>
      <c r="I103" s="102"/>
      <c r="J103" s="105"/>
      <c r="K103" s="102"/>
      <c r="L103" s="105"/>
      <c r="M103" s="104"/>
      <c r="N103" s="103"/>
      <c r="O103" s="102"/>
      <c r="P103" s="101"/>
      <c r="Q103" s="100"/>
      <c r="R103" s="99"/>
      <c r="T103" s="99"/>
      <c r="V103" s="99"/>
      <c r="X103" s="99"/>
      <c r="Z103" s="99"/>
      <c r="AB103" s="99"/>
      <c r="AD103" s="99"/>
      <c r="AF103" s="99"/>
      <c r="AH103" s="99"/>
      <c r="AJ103" s="99"/>
      <c r="AL103" s="99"/>
      <c r="AM103" s="99"/>
    </row>
    <row r="104" spans="1:40" s="84" customFormat="1" ht="15" thickTop="1" x14ac:dyDescent="0.2">
      <c r="B104" s="97" t="s">
        <v>24</v>
      </c>
      <c r="C104" s="97"/>
      <c r="D104" s="96"/>
      <c r="E104" s="94"/>
      <c r="F104" s="95"/>
      <c r="G104" s="94"/>
      <c r="H104" s="93"/>
      <c r="I104" s="94"/>
      <c r="J104" s="93"/>
      <c r="K104" s="94"/>
      <c r="L104" s="93"/>
      <c r="M104" s="92"/>
      <c r="N104" s="91"/>
      <c r="O104" s="90"/>
      <c r="P104" s="89"/>
      <c r="Q104" s="88"/>
      <c r="R104" s="86"/>
      <c r="S104" s="87"/>
      <c r="T104" s="86"/>
      <c r="U104" s="87"/>
      <c r="V104" s="86"/>
      <c r="X104" s="85"/>
      <c r="Z104" s="85"/>
      <c r="AB104" s="85"/>
      <c r="AD104" s="85"/>
      <c r="AF104" s="85"/>
      <c r="AH104" s="85"/>
      <c r="AJ104" s="85"/>
      <c r="AL104" s="85"/>
      <c r="AM104" s="85"/>
    </row>
    <row r="105" spans="1:40" s="69" customFormat="1" ht="14" x14ac:dyDescent="0.2">
      <c r="A105" s="83"/>
      <c r="B105" s="32" t="s">
        <v>23</v>
      </c>
      <c r="C105" s="32"/>
      <c r="D105" s="81"/>
      <c r="E105" s="79"/>
      <c r="F105" s="80"/>
      <c r="G105" s="79">
        <f>-79*40*12</f>
        <v>-37920</v>
      </c>
      <c r="H105" s="78"/>
      <c r="I105" s="79"/>
      <c r="J105" s="78"/>
      <c r="K105" s="79"/>
      <c r="L105" s="78"/>
      <c r="M105" s="77"/>
      <c r="N105" s="76"/>
      <c r="O105" s="75"/>
      <c r="P105" s="74"/>
      <c r="Q105" s="73"/>
      <c r="R105" s="71"/>
      <c r="S105" s="72"/>
      <c r="T105" s="71"/>
      <c r="U105" s="72"/>
      <c r="V105" s="71"/>
      <c r="X105" s="70"/>
      <c r="Z105" s="70"/>
      <c r="AB105" s="70"/>
      <c r="AD105" s="70"/>
      <c r="AF105" s="70"/>
      <c r="AH105" s="70"/>
      <c r="AJ105" s="70"/>
      <c r="AL105" s="70"/>
      <c r="AM105" s="70"/>
    </row>
    <row r="106" spans="1:40" s="69" customFormat="1" ht="28" x14ac:dyDescent="0.2">
      <c r="A106" s="83"/>
      <c r="B106" s="32" t="s">
        <v>22</v>
      </c>
      <c r="C106" s="32"/>
      <c r="D106" s="81"/>
      <c r="E106" s="79"/>
      <c r="F106" s="80"/>
      <c r="G106" s="79">
        <f>-74*81*12</f>
        <v>-71928</v>
      </c>
      <c r="H106" s="78"/>
      <c r="I106" s="79"/>
      <c r="J106" s="78"/>
      <c r="K106" s="79"/>
      <c r="L106" s="78"/>
      <c r="M106" s="77"/>
      <c r="N106" s="76"/>
      <c r="O106" s="75"/>
      <c r="P106" s="74"/>
      <c r="Q106" s="73"/>
      <c r="R106" s="71"/>
      <c r="S106" s="72"/>
      <c r="T106" s="71"/>
      <c r="U106" s="72"/>
      <c r="V106" s="71"/>
      <c r="X106" s="70"/>
      <c r="Z106" s="70"/>
      <c r="AB106" s="70"/>
      <c r="AD106" s="70"/>
      <c r="AF106" s="70"/>
      <c r="AH106" s="70"/>
      <c r="AJ106" s="70"/>
      <c r="AL106" s="70"/>
      <c r="AM106" s="70"/>
    </row>
    <row r="107" spans="1:40" s="69" customFormat="1" ht="14" x14ac:dyDescent="0.2">
      <c r="A107" s="83"/>
      <c r="B107" s="32" t="s">
        <v>21</v>
      </c>
      <c r="C107" s="32">
        <f>79*12*137</f>
        <v>129876</v>
      </c>
      <c r="D107" s="81"/>
      <c r="E107" s="79"/>
      <c r="F107" s="80"/>
      <c r="G107" s="79"/>
      <c r="H107" s="78"/>
      <c r="I107" s="79"/>
      <c r="J107" s="78"/>
      <c r="K107" s="79"/>
      <c r="L107" s="78"/>
      <c r="M107" s="77"/>
      <c r="N107" s="76"/>
      <c r="O107" s="75"/>
      <c r="P107" s="74"/>
      <c r="Q107" s="73"/>
      <c r="R107" s="71"/>
      <c r="S107" s="72"/>
      <c r="T107" s="71"/>
      <c r="U107" s="72"/>
      <c r="V107" s="71"/>
      <c r="X107" s="70"/>
      <c r="Z107" s="70"/>
      <c r="AB107" s="70"/>
      <c r="AD107" s="70"/>
      <c r="AF107" s="70"/>
      <c r="AH107" s="70"/>
      <c r="AJ107" s="70"/>
      <c r="AL107" s="70"/>
      <c r="AM107" s="70"/>
    </row>
    <row r="108" spans="1:40" s="69" customFormat="1" ht="14" x14ac:dyDescent="0.2">
      <c r="A108" s="83"/>
      <c r="B108" s="32" t="s">
        <v>20</v>
      </c>
      <c r="C108" s="32">
        <f>50*550</f>
        <v>27500</v>
      </c>
      <c r="D108" s="81"/>
      <c r="E108" s="79"/>
      <c r="F108" s="80"/>
      <c r="G108" s="79"/>
      <c r="H108" s="78"/>
      <c r="I108" s="79"/>
      <c r="J108" s="78"/>
      <c r="K108" s="79"/>
      <c r="L108" s="78"/>
      <c r="M108" s="77"/>
      <c r="N108" s="76"/>
      <c r="O108" s="75"/>
      <c r="P108" s="74"/>
      <c r="Q108" s="73"/>
      <c r="R108" s="71"/>
      <c r="S108" s="72"/>
      <c r="T108" s="71"/>
      <c r="U108" s="72"/>
      <c r="V108" s="71"/>
      <c r="X108" s="70"/>
      <c r="Z108" s="70"/>
      <c r="AB108" s="70"/>
      <c r="AD108" s="70"/>
      <c r="AF108" s="70"/>
      <c r="AH108" s="70"/>
      <c r="AJ108" s="70"/>
      <c r="AL108" s="70"/>
      <c r="AM108" s="70"/>
    </row>
    <row r="109" spans="1:40" s="69" customFormat="1" ht="14" x14ac:dyDescent="0.2">
      <c r="A109" s="83"/>
      <c r="B109" s="82" t="s">
        <v>19</v>
      </c>
      <c r="D109" s="81"/>
      <c r="E109" s="79">
        <f>74*137*12</f>
        <v>121656</v>
      </c>
      <c r="F109" s="80"/>
      <c r="G109" s="79">
        <f>74*121*12</f>
        <v>107448</v>
      </c>
      <c r="H109" s="78">
        <f>74*101*12</f>
        <v>89688</v>
      </c>
      <c r="I109" s="79">
        <f>74*101*12</f>
        <v>89688</v>
      </c>
      <c r="J109" s="78"/>
      <c r="K109" s="79">
        <f>74*97*12</f>
        <v>86136</v>
      </c>
      <c r="L109" s="78"/>
      <c r="M109" s="77"/>
      <c r="N109" s="76"/>
      <c r="O109" s="75"/>
      <c r="P109" s="74"/>
      <c r="Q109" s="73"/>
      <c r="R109" s="71"/>
      <c r="S109" s="72"/>
      <c r="T109" s="71"/>
      <c r="U109" s="72"/>
      <c r="V109" s="71"/>
      <c r="X109" s="70"/>
      <c r="Z109" s="70"/>
      <c r="AB109" s="70"/>
      <c r="AD109" s="70"/>
      <c r="AF109" s="70"/>
      <c r="AH109" s="70"/>
      <c r="AJ109" s="70"/>
      <c r="AL109" s="70"/>
      <c r="AM109" s="70"/>
    </row>
    <row r="110" spans="1:40" s="69" customFormat="1" ht="14" x14ac:dyDescent="0.2">
      <c r="A110" s="83"/>
      <c r="B110" s="82" t="s">
        <v>18</v>
      </c>
      <c r="C110" s="32"/>
      <c r="D110" s="81"/>
      <c r="E110" s="79">
        <f>5*137*12</f>
        <v>8220</v>
      </c>
      <c r="F110" s="80"/>
      <c r="G110" s="79">
        <f>5*40*12</f>
        <v>2400</v>
      </c>
      <c r="H110" s="78">
        <f>5*20*12</f>
        <v>1200</v>
      </c>
      <c r="I110" s="79">
        <f>5*20*12</f>
        <v>1200</v>
      </c>
      <c r="J110" s="78"/>
      <c r="K110" s="79">
        <f>5*40*12</f>
        <v>2400</v>
      </c>
      <c r="L110" s="78"/>
      <c r="M110" s="77"/>
      <c r="N110" s="76"/>
      <c r="O110" s="75"/>
      <c r="P110" s="74"/>
      <c r="Q110" s="73"/>
      <c r="R110" s="71"/>
      <c r="S110" s="72"/>
      <c r="T110" s="71"/>
      <c r="U110" s="72"/>
      <c r="V110" s="71"/>
      <c r="X110" s="70"/>
      <c r="Z110" s="70"/>
      <c r="AB110" s="70"/>
      <c r="AD110" s="70"/>
      <c r="AF110" s="70"/>
      <c r="AH110" s="70"/>
      <c r="AJ110" s="70"/>
      <c r="AL110" s="70"/>
      <c r="AM110" s="70"/>
    </row>
    <row r="111" spans="1:40" s="56" customFormat="1" ht="14" x14ac:dyDescent="0.2">
      <c r="A111" s="68"/>
      <c r="B111" s="67" t="s">
        <v>17</v>
      </c>
      <c r="C111" s="67"/>
      <c r="D111" s="66"/>
      <c r="E111" s="64"/>
      <c r="F111" s="65"/>
      <c r="G111" s="64"/>
      <c r="H111" s="63"/>
      <c r="I111" s="64"/>
      <c r="J111" s="63"/>
      <c r="K111" s="64"/>
      <c r="L111" s="63"/>
      <c r="M111" s="60"/>
      <c r="N111" s="61"/>
      <c r="O111" s="62">
        <f>37*79*12</f>
        <v>35076</v>
      </c>
      <c r="P111" s="61"/>
      <c r="Q111" s="60"/>
      <c r="R111" s="58"/>
      <c r="S111" s="59"/>
      <c r="T111" s="58"/>
      <c r="U111" s="59"/>
      <c r="V111" s="58"/>
      <c r="X111" s="57"/>
      <c r="Z111" s="57"/>
      <c r="AB111" s="57"/>
      <c r="AD111" s="57"/>
      <c r="AF111" s="57"/>
      <c r="AH111" s="57"/>
      <c r="AJ111" s="57"/>
      <c r="AL111" s="57"/>
      <c r="AM111" s="57"/>
    </row>
    <row r="112" spans="1:40" s="56" customFormat="1" ht="14" x14ac:dyDescent="0.2">
      <c r="A112" s="68"/>
      <c r="B112" s="67" t="s">
        <v>16</v>
      </c>
      <c r="C112" s="67"/>
      <c r="D112" s="66"/>
      <c r="E112" s="64"/>
      <c r="F112" s="65"/>
      <c r="G112" s="64"/>
      <c r="H112" s="63"/>
      <c r="I112" s="64"/>
      <c r="J112" s="63"/>
      <c r="K112" s="64"/>
      <c r="L112" s="63"/>
      <c r="M112" s="60"/>
      <c r="N112" s="61"/>
      <c r="O112" s="62">
        <f>17*74*12</f>
        <v>15096</v>
      </c>
      <c r="P112" s="61"/>
      <c r="Q112" s="60"/>
      <c r="R112" s="58"/>
      <c r="S112" s="59"/>
      <c r="T112" s="58"/>
      <c r="U112" s="59"/>
      <c r="V112" s="58"/>
      <c r="X112" s="57"/>
      <c r="Z112" s="57"/>
      <c r="AB112" s="57"/>
      <c r="AD112" s="57"/>
      <c r="AF112" s="57"/>
      <c r="AH112" s="57"/>
      <c r="AJ112" s="57"/>
      <c r="AL112" s="57"/>
      <c r="AM112" s="57"/>
    </row>
    <row r="113" spans="2:39" s="54" customFormat="1" ht="14" x14ac:dyDescent="0.2">
      <c r="B113" s="45" t="s">
        <v>15</v>
      </c>
      <c r="C113" s="45"/>
      <c r="D113" s="48"/>
      <c r="E113" s="41"/>
      <c r="F113" s="53"/>
      <c r="G113" s="41"/>
      <c r="H113" s="52"/>
      <c r="I113" s="41"/>
      <c r="J113" s="52"/>
      <c r="K113" s="41"/>
      <c r="L113" s="52"/>
      <c r="M113" s="51"/>
      <c r="N113" s="50"/>
      <c r="O113" s="41"/>
      <c r="P113" s="49"/>
      <c r="Q113" s="39"/>
      <c r="R113" s="37"/>
      <c r="S113" s="38"/>
      <c r="T113" s="37"/>
      <c r="U113" s="38"/>
      <c r="V113" s="37"/>
      <c r="W113" s="36"/>
      <c r="X113" s="35"/>
      <c r="Y113" s="36"/>
      <c r="Z113" s="35">
        <v>39800</v>
      </c>
      <c r="AA113" s="33">
        <v>39816</v>
      </c>
      <c r="AB113" s="35"/>
      <c r="AD113" s="55"/>
      <c r="AF113" s="55"/>
      <c r="AH113" s="55"/>
      <c r="AJ113" s="55"/>
      <c r="AL113" s="55"/>
      <c r="AM113" s="55"/>
    </row>
    <row r="114" spans="2:39" s="54" customFormat="1" ht="14" x14ac:dyDescent="0.2">
      <c r="B114" s="45" t="s">
        <v>14</v>
      </c>
      <c r="C114" s="45"/>
      <c r="D114" s="48"/>
      <c r="E114" s="41"/>
      <c r="F114" s="53"/>
      <c r="G114" s="41"/>
      <c r="H114" s="52"/>
      <c r="I114" s="41"/>
      <c r="J114" s="52"/>
      <c r="K114" s="41"/>
      <c r="L114" s="52"/>
      <c r="M114" s="51"/>
      <c r="N114" s="50"/>
      <c r="O114" s="41"/>
      <c r="P114" s="49"/>
      <c r="Q114" s="39"/>
      <c r="R114" s="37"/>
      <c r="S114" s="38"/>
      <c r="T114" s="37">
        <v>79632</v>
      </c>
      <c r="U114" s="38">
        <v>79632</v>
      </c>
      <c r="V114" s="37"/>
      <c r="W114" s="36"/>
      <c r="X114" s="35"/>
      <c r="Y114" s="36"/>
      <c r="Z114" s="35"/>
      <c r="AA114" s="33"/>
      <c r="AB114" s="34">
        <v>79004</v>
      </c>
      <c r="AC114" s="33">
        <v>79632</v>
      </c>
      <c r="AD114" s="55"/>
      <c r="AE114" s="54" t="s">
        <v>0</v>
      </c>
      <c r="AF114" s="55"/>
      <c r="AH114" s="55"/>
      <c r="AJ114" s="55"/>
      <c r="AL114" s="55"/>
      <c r="AM114" s="55"/>
    </row>
    <row r="115" spans="2:39" s="33" customFormat="1" ht="14" x14ac:dyDescent="0.2">
      <c r="B115" s="45" t="s">
        <v>13</v>
      </c>
      <c r="C115" s="45"/>
      <c r="D115" s="48"/>
      <c r="E115" s="41"/>
      <c r="F115" s="53"/>
      <c r="G115" s="41"/>
      <c r="H115" s="52"/>
      <c r="I115" s="41"/>
      <c r="J115" s="52"/>
      <c r="K115" s="41"/>
      <c r="L115" s="52"/>
      <c r="M115" s="51">
        <f>74*84*12</f>
        <v>74592</v>
      </c>
      <c r="N115" s="50"/>
      <c r="O115" s="41"/>
      <c r="P115" s="49"/>
      <c r="Q115" s="39"/>
      <c r="R115" s="37"/>
      <c r="S115" s="38"/>
      <c r="T115" s="37"/>
      <c r="U115" s="38" t="s">
        <v>0</v>
      </c>
      <c r="V115" s="37" t="s">
        <v>0</v>
      </c>
      <c r="W115" s="36"/>
      <c r="X115" s="35"/>
      <c r="Y115" s="36"/>
      <c r="Z115" s="35"/>
      <c r="AB115" s="35"/>
      <c r="AD115" s="34">
        <v>76844</v>
      </c>
      <c r="AE115" s="33">
        <v>74592</v>
      </c>
      <c r="AF115" s="34"/>
      <c r="AH115" s="34">
        <v>74246.95</v>
      </c>
      <c r="AI115" s="33">
        <v>73997</v>
      </c>
      <c r="AJ115" s="34">
        <v>126014</v>
      </c>
      <c r="AK115" s="33">
        <v>73997</v>
      </c>
      <c r="AL115" s="34">
        <v>73830.820000000007</v>
      </c>
      <c r="AM115" s="34">
        <v>52300</v>
      </c>
    </row>
    <row r="116" spans="2:39" s="33" customFormat="1" ht="14" x14ac:dyDescent="0.2">
      <c r="B116" s="45" t="s">
        <v>12</v>
      </c>
      <c r="C116" s="45"/>
      <c r="D116" s="48"/>
      <c r="E116" s="41"/>
      <c r="F116" s="53"/>
      <c r="G116" s="41"/>
      <c r="H116" s="52"/>
      <c r="I116" s="41"/>
      <c r="J116" s="52"/>
      <c r="K116" s="41"/>
      <c r="L116" s="52"/>
      <c r="M116" s="51"/>
      <c r="N116" s="50"/>
      <c r="O116" s="41"/>
      <c r="P116" s="49"/>
      <c r="Q116" s="39"/>
      <c r="R116" s="37"/>
      <c r="S116" s="38"/>
      <c r="T116" s="37"/>
      <c r="U116" s="38"/>
      <c r="V116" s="37"/>
      <c r="W116" s="36"/>
      <c r="X116" s="35"/>
      <c r="Y116" s="36"/>
      <c r="Z116" s="35"/>
      <c r="AB116" s="35"/>
      <c r="AD116" s="34"/>
      <c r="AF116" s="34">
        <v>154214</v>
      </c>
      <c r="AG116" s="33">
        <v>149184</v>
      </c>
      <c r="AH116" s="34"/>
      <c r="AJ116" s="34"/>
      <c r="AL116" s="34"/>
      <c r="AM116" s="34"/>
    </row>
    <row r="117" spans="2:39" s="33" customFormat="1" ht="14" x14ac:dyDescent="0.2">
      <c r="B117" s="45" t="s">
        <v>11</v>
      </c>
      <c r="C117" s="45"/>
      <c r="D117" s="48"/>
      <c r="E117" s="41"/>
      <c r="F117" s="53"/>
      <c r="G117" s="41"/>
      <c r="H117" s="52"/>
      <c r="I117" s="41"/>
      <c r="J117" s="52"/>
      <c r="K117" s="41"/>
      <c r="L117" s="52"/>
      <c r="M117" s="51"/>
      <c r="N117" s="50"/>
      <c r="O117" s="41"/>
      <c r="P117" s="49"/>
      <c r="Q117" s="39"/>
      <c r="R117" s="37"/>
      <c r="S117" s="38"/>
      <c r="T117" s="37"/>
      <c r="U117" s="38"/>
      <c r="V117" s="37">
        <v>2340</v>
      </c>
      <c r="W117" s="36">
        <v>2340</v>
      </c>
      <c r="X117" s="35"/>
      <c r="Y117" s="36"/>
      <c r="Z117" s="35"/>
      <c r="AB117" s="35"/>
      <c r="AD117" s="34"/>
      <c r="AE117" s="33">
        <v>2340</v>
      </c>
      <c r="AF117" s="34"/>
      <c r="AH117" s="34"/>
      <c r="AJ117" s="34"/>
      <c r="AL117" s="34"/>
      <c r="AM117" s="34"/>
    </row>
    <row r="118" spans="2:39" s="33" customFormat="1" ht="14" x14ac:dyDescent="0.2">
      <c r="B118" s="45" t="s">
        <v>10</v>
      </c>
      <c r="C118" s="45"/>
      <c r="D118" s="48"/>
      <c r="E118" s="41"/>
      <c r="F118" s="53"/>
      <c r="G118" s="41"/>
      <c r="H118" s="52"/>
      <c r="I118" s="41"/>
      <c r="J118" s="52"/>
      <c r="K118" s="41"/>
      <c r="L118" s="52"/>
      <c r="M118" s="51"/>
      <c r="N118" s="50"/>
      <c r="O118" s="41"/>
      <c r="P118" s="49"/>
      <c r="Q118" s="39"/>
      <c r="R118" s="37"/>
      <c r="S118" s="38"/>
      <c r="T118" s="37"/>
      <c r="U118" s="38"/>
      <c r="V118" s="37"/>
      <c r="W118" s="36"/>
      <c r="X118" s="35"/>
      <c r="Y118" s="36"/>
      <c r="Z118" s="35"/>
      <c r="AB118" s="35"/>
      <c r="AD118" s="34"/>
      <c r="AF118" s="34"/>
      <c r="AH118" s="34">
        <v>3500</v>
      </c>
      <c r="AI118" s="33">
        <v>3500</v>
      </c>
      <c r="AJ118" s="34">
        <v>3500</v>
      </c>
      <c r="AK118" s="33">
        <v>3500</v>
      </c>
      <c r="AL118" s="34"/>
      <c r="AM118" s="34"/>
    </row>
    <row r="119" spans="2:39" s="33" customFormat="1" ht="28" x14ac:dyDescent="0.2">
      <c r="B119" s="45" t="s">
        <v>9</v>
      </c>
      <c r="C119" s="45"/>
      <c r="D119" s="48"/>
      <c r="E119" s="41"/>
      <c r="F119" s="53"/>
      <c r="G119" s="41"/>
      <c r="H119" s="52"/>
      <c r="I119" s="41"/>
      <c r="J119" s="52"/>
      <c r="K119" s="41"/>
      <c r="L119" s="52"/>
      <c r="M119" s="51"/>
      <c r="N119" s="50"/>
      <c r="O119" s="41"/>
      <c r="P119" s="49"/>
      <c r="Q119" s="39"/>
      <c r="R119" s="37"/>
      <c r="S119" s="38"/>
      <c r="T119" s="37"/>
      <c r="U119" s="38"/>
      <c r="V119" s="37"/>
      <c r="W119" s="36"/>
      <c r="X119" s="35"/>
      <c r="Y119" s="36"/>
      <c r="Z119" s="35"/>
      <c r="AB119" s="35"/>
      <c r="AD119" s="34"/>
      <c r="AF119" s="34">
        <v>7080</v>
      </c>
      <c r="AG119" s="33">
        <v>7080</v>
      </c>
      <c r="AH119" s="34"/>
      <c r="AJ119" s="34"/>
      <c r="AL119" s="34"/>
      <c r="AM119" s="34"/>
    </row>
    <row r="120" spans="2:39" s="33" customFormat="1" ht="14" x14ac:dyDescent="0.2">
      <c r="B120" s="45" t="s">
        <v>8</v>
      </c>
      <c r="C120" s="45"/>
      <c r="D120" s="48"/>
      <c r="E120" s="41"/>
      <c r="F120" s="53"/>
      <c r="G120" s="41"/>
      <c r="H120" s="52"/>
      <c r="I120" s="41"/>
      <c r="J120" s="52"/>
      <c r="K120" s="41"/>
      <c r="L120" s="52"/>
      <c r="M120" s="51"/>
      <c r="N120" s="50"/>
      <c r="O120" s="41"/>
      <c r="P120" s="49"/>
      <c r="Q120" s="39"/>
      <c r="R120" s="37"/>
      <c r="S120" s="38" t="s">
        <v>0</v>
      </c>
      <c r="T120" s="37"/>
      <c r="U120" s="38"/>
      <c r="V120" s="37"/>
      <c r="W120" s="36"/>
      <c r="X120" s="35"/>
      <c r="Y120" s="36"/>
      <c r="Z120" s="35"/>
      <c r="AB120" s="35"/>
      <c r="AD120" s="34"/>
      <c r="AF120" s="34"/>
      <c r="AH120" s="34"/>
      <c r="AJ120" s="34"/>
      <c r="AL120" s="34"/>
      <c r="AM120" s="34"/>
    </row>
    <row r="121" spans="2:39" s="33" customFormat="1" ht="14" x14ac:dyDescent="0.2">
      <c r="B121" s="45" t="s">
        <v>7</v>
      </c>
      <c r="C121" s="45"/>
      <c r="D121" s="48"/>
      <c r="E121" s="41"/>
      <c r="F121" s="47"/>
      <c r="G121" s="46"/>
      <c r="H121" s="44"/>
      <c r="I121" s="45"/>
      <c r="J121" s="44"/>
      <c r="K121" s="45"/>
      <c r="L121" s="44"/>
      <c r="M121" s="43"/>
      <c r="N121" s="42"/>
      <c r="O121" s="41"/>
      <c r="P121" s="40"/>
      <c r="Q121" s="39"/>
      <c r="R121" s="37"/>
      <c r="S121" s="38"/>
      <c r="T121" s="37"/>
      <c r="U121" s="38"/>
      <c r="V121" s="37"/>
      <c r="W121" s="36"/>
      <c r="X121" s="35"/>
      <c r="Y121" s="36"/>
      <c r="Z121" s="35"/>
      <c r="AB121" s="35"/>
      <c r="AD121" s="34"/>
      <c r="AF121" s="34"/>
      <c r="AH121" s="34"/>
      <c r="AJ121" s="34"/>
      <c r="AL121" s="34"/>
      <c r="AM121" s="34"/>
    </row>
    <row r="122" spans="2:39" s="33" customFormat="1" ht="14" x14ac:dyDescent="0.2">
      <c r="B122" s="45" t="s">
        <v>5</v>
      </c>
      <c r="C122" s="45"/>
      <c r="D122" s="48"/>
      <c r="E122" s="41"/>
      <c r="F122" s="47"/>
      <c r="G122" s="46"/>
      <c r="H122" s="44"/>
      <c r="I122" s="45"/>
      <c r="J122" s="44"/>
      <c r="K122" s="45"/>
      <c r="L122" s="44"/>
      <c r="M122" s="43"/>
      <c r="N122" s="42"/>
      <c r="O122" s="41"/>
      <c r="P122" s="40"/>
      <c r="Q122" s="39"/>
      <c r="R122" s="37"/>
      <c r="S122" s="38"/>
      <c r="T122" s="37"/>
      <c r="U122" s="38"/>
      <c r="V122" s="37"/>
      <c r="W122" s="36"/>
      <c r="X122" s="35" t="s">
        <v>0</v>
      </c>
      <c r="Y122" s="36"/>
      <c r="Z122" s="35"/>
      <c r="AB122" s="35"/>
      <c r="AD122" s="34"/>
      <c r="AF122" s="34"/>
      <c r="AH122" s="34"/>
      <c r="AJ122" s="34"/>
      <c r="AL122" s="34"/>
      <c r="AM122" s="34"/>
    </row>
    <row r="123" spans="2:39" s="33" customFormat="1" ht="14" x14ac:dyDescent="0.2">
      <c r="B123" s="45" t="s">
        <v>6</v>
      </c>
      <c r="C123" s="45"/>
      <c r="D123" s="48"/>
      <c r="E123" s="41"/>
      <c r="F123" s="47"/>
      <c r="G123" s="46"/>
      <c r="H123" s="44"/>
      <c r="I123" s="45"/>
      <c r="J123" s="44"/>
      <c r="K123" s="45"/>
      <c r="L123" s="44"/>
      <c r="M123" s="43"/>
      <c r="N123" s="42"/>
      <c r="O123" s="41"/>
      <c r="P123" s="40"/>
      <c r="Q123" s="39"/>
      <c r="R123" s="37"/>
      <c r="S123" s="38"/>
      <c r="T123" s="37"/>
      <c r="U123" s="38"/>
      <c r="V123" s="37"/>
      <c r="W123" s="36"/>
      <c r="X123" s="35"/>
      <c r="Y123" s="36"/>
      <c r="Z123" s="35"/>
      <c r="AB123" s="35"/>
      <c r="AD123" s="34"/>
      <c r="AF123" s="34"/>
      <c r="AH123" s="34"/>
      <c r="AJ123" s="34"/>
      <c r="AL123" s="34"/>
      <c r="AM123" s="34"/>
    </row>
    <row r="124" spans="2:39" s="33" customFormat="1" ht="14" x14ac:dyDescent="0.2">
      <c r="B124" s="45" t="s">
        <v>5</v>
      </c>
      <c r="C124" s="45"/>
      <c r="D124" s="48"/>
      <c r="E124" s="41"/>
      <c r="F124" s="47"/>
      <c r="G124" s="46"/>
      <c r="H124" s="44"/>
      <c r="I124" s="45"/>
      <c r="J124" s="44"/>
      <c r="K124" s="45"/>
      <c r="L124" s="44"/>
      <c r="M124" s="43"/>
      <c r="N124" s="42"/>
      <c r="O124" s="41"/>
      <c r="P124" s="40"/>
      <c r="Q124" s="39"/>
      <c r="R124" s="37"/>
      <c r="S124" s="38"/>
      <c r="T124" s="37"/>
      <c r="U124" s="38"/>
      <c r="V124" s="37"/>
      <c r="W124" s="36"/>
      <c r="X124" s="35"/>
      <c r="Y124" s="36"/>
      <c r="Z124" s="35"/>
      <c r="AB124" s="35"/>
      <c r="AD124" s="34"/>
      <c r="AF124" s="34"/>
      <c r="AH124" s="34"/>
      <c r="AJ124" s="34"/>
      <c r="AL124" s="34"/>
      <c r="AM124" s="34"/>
    </row>
    <row r="125" spans="2:39" s="33" customFormat="1" ht="14" x14ac:dyDescent="0.2">
      <c r="B125" s="45" t="s">
        <v>4</v>
      </c>
      <c r="C125" s="45"/>
      <c r="D125" s="48"/>
      <c r="E125" s="41"/>
      <c r="F125" s="47"/>
      <c r="G125" s="46"/>
      <c r="H125" s="44"/>
      <c r="I125" s="45"/>
      <c r="J125" s="44"/>
      <c r="K125" s="45"/>
      <c r="L125" s="44"/>
      <c r="M125" s="43"/>
      <c r="N125" s="42"/>
      <c r="O125" s="41"/>
      <c r="P125" s="40"/>
      <c r="Q125" s="39"/>
      <c r="R125" s="37"/>
      <c r="S125" s="38" t="s">
        <v>0</v>
      </c>
      <c r="T125" s="37"/>
      <c r="U125" s="38"/>
      <c r="V125" s="37">
        <v>44400</v>
      </c>
      <c r="W125" s="36">
        <v>44400</v>
      </c>
      <c r="X125" s="35"/>
      <c r="Y125" s="36"/>
      <c r="Z125" s="35"/>
      <c r="AB125" s="35"/>
      <c r="AD125" s="34"/>
      <c r="AF125" s="34"/>
      <c r="AH125" s="34"/>
      <c r="AJ125" s="34"/>
      <c r="AL125" s="34"/>
      <c r="AM125" s="34"/>
    </row>
    <row r="126" spans="2:39" s="22" customFormat="1" ht="14" x14ac:dyDescent="0.2">
      <c r="B126" s="28" t="s">
        <v>3</v>
      </c>
      <c r="C126" s="32">
        <f>SUM(C107:C108)</f>
        <v>157376</v>
      </c>
      <c r="D126" s="31"/>
      <c r="E126" s="26">
        <f>SUM(E109:E110)</f>
        <v>129876</v>
      </c>
      <c r="F126" s="30">
        <v>109544</v>
      </c>
      <c r="G126" s="29">
        <f>SUM(G109:G110)</f>
        <v>109848</v>
      </c>
      <c r="H126" s="27">
        <v>90468</v>
      </c>
      <c r="I126" s="28">
        <f>SUM(H109:H110)</f>
        <v>90888</v>
      </c>
      <c r="J126" s="27">
        <v>88549</v>
      </c>
      <c r="K126" s="28">
        <v>88692</v>
      </c>
      <c r="L126" s="27">
        <v>43550</v>
      </c>
      <c r="M126" s="28">
        <v>44400</v>
      </c>
      <c r="N126" s="27">
        <v>49024</v>
      </c>
      <c r="O126" s="26">
        <f>SUM(O111:O125)</f>
        <v>50172</v>
      </c>
      <c r="P126" s="25">
        <f>SUM(P111:P125)</f>
        <v>0</v>
      </c>
      <c r="Q126" s="24">
        <f>SUM(Q111:Q125)</f>
        <v>0</v>
      </c>
      <c r="R126" s="23"/>
      <c r="S126" s="22">
        <v>48732</v>
      </c>
      <c r="T126" s="23">
        <f>SUM(T113:T125)</f>
        <v>79632</v>
      </c>
      <c r="U126" s="22">
        <f>SUM(U113:U125)</f>
        <v>79632</v>
      </c>
      <c r="V126" s="23">
        <f>SUM(V113:V125)</f>
        <v>46740</v>
      </c>
      <c r="W126" s="22">
        <f>SUM(W113:W125)</f>
        <v>46740</v>
      </c>
      <c r="X126" s="23">
        <f>SUM(X113:X125)</f>
        <v>0</v>
      </c>
      <c r="Y126" s="22">
        <f>SUM(Y113:Y120)</f>
        <v>0</v>
      </c>
      <c r="Z126" s="23">
        <f>SUM(Z113:Z120)</f>
        <v>39800</v>
      </c>
      <c r="AA126" s="22">
        <f>SUM(AA113:AA120)</f>
        <v>39816</v>
      </c>
      <c r="AB126" s="23">
        <f>SUM(AB113:AB120)</f>
        <v>79004</v>
      </c>
      <c r="AC126" s="22">
        <v>79632</v>
      </c>
      <c r="AD126" s="23">
        <f>SUM(AD115:AD120)</f>
        <v>76844</v>
      </c>
      <c r="AE126" s="22">
        <f>SUM(AE115:AE120)</f>
        <v>76932</v>
      </c>
      <c r="AF126" s="23">
        <f>SUM(AF113:AF120)</f>
        <v>161294</v>
      </c>
      <c r="AG126" s="22">
        <f>SUM(AG115:AG120)</f>
        <v>156264</v>
      </c>
      <c r="AH126" s="23">
        <f>SUM(AH115:AH120)</f>
        <v>77746.95</v>
      </c>
      <c r="AI126" s="22">
        <f>SUM(AI115:AI120)</f>
        <v>77497</v>
      </c>
      <c r="AJ126" s="23">
        <f>SUM(AJ115:AJ120)</f>
        <v>129514</v>
      </c>
      <c r="AK126" s="22">
        <f>SUM(AK115:AK120)</f>
        <v>77497</v>
      </c>
      <c r="AL126" s="23">
        <f>SUM(AL115:AL120)</f>
        <v>73830.820000000007</v>
      </c>
      <c r="AM126" s="23">
        <f>SUM(AM115:AM120)</f>
        <v>52300</v>
      </c>
    </row>
    <row r="127" spans="2:39" ht="14" x14ac:dyDescent="0.2">
      <c r="B127" s="11" t="s">
        <v>2</v>
      </c>
      <c r="E127" s="16">
        <v>130000</v>
      </c>
      <c r="F127" s="15">
        <v>157832</v>
      </c>
      <c r="G127" s="11">
        <v>295000</v>
      </c>
      <c r="H127" s="14">
        <v>98093</v>
      </c>
      <c r="J127" s="14">
        <v>77055</v>
      </c>
      <c r="L127" s="14">
        <v>94075</v>
      </c>
    </row>
    <row r="129" spans="2:34" ht="14" x14ac:dyDescent="0.2">
      <c r="B129" s="11" t="s">
        <v>1</v>
      </c>
      <c r="E129" s="21">
        <f>E126-E127</f>
        <v>-124</v>
      </c>
      <c r="F129" s="14">
        <f>F126-F127</f>
        <v>-48288</v>
      </c>
      <c r="G129" s="14">
        <f>G126-G127</f>
        <v>-185152</v>
      </c>
      <c r="H129" s="14">
        <f>H126-H127</f>
        <v>-7625</v>
      </c>
      <c r="I129" s="14"/>
      <c r="J129" s="14">
        <f>J126-J127</f>
        <v>11494</v>
      </c>
      <c r="K129" s="14"/>
      <c r="L129" s="14">
        <f>L126-L127</f>
        <v>-50525</v>
      </c>
      <c r="U129" s="6" t="s">
        <v>0</v>
      </c>
      <c r="AH129" s="2" t="s">
        <v>0</v>
      </c>
    </row>
    <row r="131" spans="2:34" ht="15" x14ac:dyDescent="0.2">
      <c r="B131" s="17"/>
      <c r="C131" s="17"/>
      <c r="D131" s="20"/>
      <c r="E131" s="19"/>
      <c r="F131" s="18"/>
      <c r="G131" s="17"/>
      <c r="H131" s="17"/>
      <c r="W131" s="4" t="s">
        <v>0</v>
      </c>
      <c r="X131" s="3" t="s">
        <v>0</v>
      </c>
      <c r="AG131" s="1" t="s">
        <v>0</v>
      </c>
    </row>
    <row r="132" spans="2:34" ht="15" x14ac:dyDescent="0.2">
      <c r="B132" s="17"/>
      <c r="C132" s="17"/>
      <c r="D132" s="20"/>
      <c r="E132" s="19"/>
      <c r="F132" s="18"/>
      <c r="G132" s="17"/>
      <c r="H132" s="17"/>
      <c r="AG132" s="1" t="s">
        <v>0</v>
      </c>
    </row>
    <row r="133" spans="2:34" x14ac:dyDescent="0.2">
      <c r="W133" s="4" t="s">
        <v>0</v>
      </c>
    </row>
  </sheetData>
  <printOptions headings="1" gridLines="1"/>
  <pageMargins left="0.25" right="0.25" top="0.25" bottom="0.25" header="0" footer="0"/>
  <pageSetup paperSize="5" scale="73" fitToHeight="0" orientation="landscape" horizontalDpi="4294967293" verticalDpi="4294967293" r:id="rId1"/>
  <rowBreaks count="2" manualBreakCount="2">
    <brk id="38" min="1" max="14" man="1"/>
    <brk id="94" min="1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9522-24ED-0D4B-842F-9012606C8001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WVHA Budget &amp; Actuals</vt:lpstr>
      <vt:lpstr>Sheet1</vt:lpstr>
      <vt:lpstr>'WVHA Budget &amp; Actuals'!Print_Area</vt:lpstr>
      <vt:lpstr>'WVHA Budget &amp; Actuals'!Print_Titles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Seelbach</dc:creator>
  <cp:lastModifiedBy>Rocky Seelbach</cp:lastModifiedBy>
  <dcterms:created xsi:type="dcterms:W3CDTF">2023-11-10T03:55:37Z</dcterms:created>
  <dcterms:modified xsi:type="dcterms:W3CDTF">2023-11-10T04:11:08Z</dcterms:modified>
</cp:coreProperties>
</file>